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3920" windowHeight="9360" tabRatio="599" activeTab="4"/>
  </bookViews>
  <sheets>
    <sheet name="Begin" sheetId="1" r:id="rId1"/>
    <sheet name="Skills" sheetId="2" r:id="rId2"/>
    <sheet name="Feats" sheetId="3" r:id="rId3"/>
    <sheet name="Gear" sheetId="4" r:id="rId4"/>
    <sheet name="Sheet" sheetId="5" r:id="rId5"/>
    <sheet name="Classes" sheetId="6" r:id="rId6"/>
    <sheet name="Races" sheetId="7" r:id="rId7"/>
    <sheet name="Combat" sheetId="8" r:id="rId8"/>
    <sheet name="Spells" sheetId="9" r:id="rId9"/>
    <sheet name="Scratch" sheetId="10" r:id="rId10"/>
  </sheets>
  <definedNames>
    <definedName name="Alignment">'Begin'!$C$11</definedName>
    <definedName name="Armors">'Combat'!$A$3:$A$14</definedName>
    <definedName name="BAB">'Classes'!$E$20</definedName>
    <definedName name="CasterLevel">'Spells'!$M$6</definedName>
    <definedName name="Cha">'Sheet'!$D$15</definedName>
    <definedName name="ChaMod">'Sheet'!$F$15</definedName>
    <definedName name="ChrLevel">'Classes'!$C$20</definedName>
    <definedName name="Classes">'Classes'!$A$3:$A$18</definedName>
    <definedName name="Con">'Sheet'!$D$12</definedName>
    <definedName name="ConMod">'Sheet'!$F$12</definedName>
    <definedName name="Dex">'Sheet'!$D$11</definedName>
    <definedName name="DexMod">'Sheet'!$F$11</definedName>
    <definedName name="Domains">'Scratch'!$J$2:$J$23</definedName>
    <definedName name="EligibleClasses">'Classes'!$D$24:$D$47</definedName>
    <definedName name="EligibleFeats">'Feats'!$K$50:$K$159</definedName>
    <definedName name="ExoticWs">'Combat'!$BA$2:$BA$20</definedName>
    <definedName name="FtrFeats">'Feats'!$Q$49:$Q$159</definedName>
    <definedName name="HowManyClasses">'Classes'!$B$19</definedName>
    <definedName name="Int">'Sheet'!$D$13</definedName>
    <definedName name="IntMod">'Sheet'!$F$13</definedName>
    <definedName name="Magics">'Scratch'!$R$2:$R$9</definedName>
    <definedName name="MartialWs">'Combat'!$AZ$2:$AZ$39</definedName>
    <definedName name="MeleeWs">'Combat'!$L$4:$L$66</definedName>
    <definedName name="NumClasses">'Classes'!$C$21</definedName>
    <definedName name="_xlnm.Print_Area" localSheetId="4">'Sheet'!$A$1:$X$208</definedName>
    <definedName name="PWeapons">'Combat'!$AV$2:$AV$76</definedName>
    <definedName name="Race">'Begin'!$C$10</definedName>
    <definedName name="Races">'Races'!$B$1:$L$1</definedName>
    <definedName name="RangedWs">'Combat'!$V$3:$V$27</definedName>
    <definedName name="RFEs">'Scratch'!$O$2:$O$33</definedName>
    <definedName name="Shields">'Combat'!$A$18:$A$23</definedName>
    <definedName name="SimpleWs">'Combat'!$AY$2:$AY$19</definedName>
    <definedName name="Size">'Begin'!$E$15</definedName>
    <definedName name="Sizes">'Races'!$N$3:$N$11</definedName>
    <definedName name="Skills">'Classes'!$K$2:$BJ$2</definedName>
    <definedName name="Status">'Sheet'!$K$2</definedName>
    <definedName name="Str">'Sheet'!$D$10</definedName>
    <definedName name="StrMod">'Sheet'!$F$10</definedName>
    <definedName name="Wis">'Sheet'!$D$14</definedName>
    <definedName name="WisMod">'Sheet'!$F$14</definedName>
    <definedName name="WizFeats">'Feats'!$N$49:$N$159</definedName>
  </definedNames>
  <calcPr fullCalcOnLoad="1"/>
</workbook>
</file>

<file path=xl/sharedStrings.xml><?xml version="1.0" encoding="utf-8"?>
<sst xmlns="http://schemas.openxmlformats.org/spreadsheetml/2006/main" count="2664" uniqueCount="897">
  <si>
    <t>Begin</t>
  </si>
  <si>
    <t>Skills</t>
  </si>
  <si>
    <t>Feats</t>
  </si>
  <si>
    <t>Gear</t>
  </si>
  <si>
    <t>View the Sheet</t>
  </si>
  <si>
    <t>Character Generator for D&amp;D 3.5</t>
  </si>
  <si>
    <t>General Information</t>
  </si>
  <si>
    <t>Abilities</t>
  </si>
  <si>
    <t>Strength</t>
  </si>
  <si>
    <t>Dexterity</t>
  </si>
  <si>
    <t>Constitution</t>
  </si>
  <si>
    <t>Intelligence</t>
  </si>
  <si>
    <t>Wisdom</t>
  </si>
  <si>
    <t>Charisma</t>
  </si>
  <si>
    <t>Description</t>
  </si>
  <si>
    <t>Size</t>
  </si>
  <si>
    <t>Character's Name</t>
  </si>
  <si>
    <t>Player's Name</t>
  </si>
  <si>
    <t>Race</t>
  </si>
  <si>
    <t>Alignment</t>
  </si>
  <si>
    <t>Deity</t>
  </si>
  <si>
    <t>Age</t>
  </si>
  <si>
    <t>Gender</t>
  </si>
  <si>
    <t>Height</t>
  </si>
  <si>
    <t>Weight</t>
  </si>
  <si>
    <t>Eyes</t>
  </si>
  <si>
    <t>Hair</t>
  </si>
  <si>
    <t>Skin</t>
  </si>
  <si>
    <t>Class Selection</t>
  </si>
  <si>
    <t>Level</t>
  </si>
  <si>
    <t>Select the class you are taking at each</t>
  </si>
  <si>
    <t>level. If you are not multiclassing, your</t>
  </si>
  <si>
    <t>choice will be the same for all levels</t>
  </si>
  <si>
    <t>Class Features</t>
  </si>
  <si>
    <t>Adept</t>
  </si>
  <si>
    <t>Aristocrat</t>
  </si>
  <si>
    <t>Barbarian</t>
  </si>
  <si>
    <t>Bard</t>
  </si>
  <si>
    <t>Cleric</t>
  </si>
  <si>
    <t>Commoner</t>
  </si>
  <si>
    <t>Druid</t>
  </si>
  <si>
    <t>Expert</t>
  </si>
  <si>
    <t>Fighter</t>
  </si>
  <si>
    <t>Monk</t>
  </si>
  <si>
    <t>Paladin</t>
  </si>
  <si>
    <t>Ranger</t>
  </si>
  <si>
    <t>Rogue</t>
  </si>
  <si>
    <t>Sorcerer</t>
  </si>
  <si>
    <t>Wizard</t>
  </si>
  <si>
    <t>Warrior</t>
  </si>
  <si>
    <t>Class</t>
  </si>
  <si>
    <t>Abbreviation</t>
  </si>
  <si>
    <t>hit die</t>
  </si>
  <si>
    <t>BAB</t>
  </si>
  <si>
    <t>Fort</t>
  </si>
  <si>
    <t>Will</t>
  </si>
  <si>
    <t>Refl</t>
  </si>
  <si>
    <t>Skill Points</t>
  </si>
  <si>
    <t>Adp</t>
  </si>
  <si>
    <t>Ari</t>
  </si>
  <si>
    <t>Bbn</t>
  </si>
  <si>
    <t>Brd</t>
  </si>
  <si>
    <t>Clr</t>
  </si>
  <si>
    <t>Com</t>
  </si>
  <si>
    <t>Drd</t>
  </si>
  <si>
    <t>Exp</t>
  </si>
  <si>
    <t>Ftr</t>
  </si>
  <si>
    <t>Mnk</t>
  </si>
  <si>
    <t>Pal</t>
  </si>
  <si>
    <t>Rgr</t>
  </si>
  <si>
    <t>Rog</t>
  </si>
  <si>
    <t>Sor</t>
  </si>
  <si>
    <t>War</t>
  </si>
  <si>
    <t>Wiz</t>
  </si>
  <si>
    <t>d6</t>
  </si>
  <si>
    <t>d8</t>
  </si>
  <si>
    <t>d12</t>
  </si>
  <si>
    <t>d4</t>
  </si>
  <si>
    <t>d10</t>
  </si>
  <si>
    <t>Nat.Armor</t>
  </si>
  <si>
    <t>Dwarf</t>
  </si>
  <si>
    <t>Medium</t>
  </si>
  <si>
    <t>Elf</t>
  </si>
  <si>
    <t>Gnome</t>
  </si>
  <si>
    <t>Small</t>
  </si>
  <si>
    <t>Goblin</t>
  </si>
  <si>
    <t>Half-Elf</t>
  </si>
  <si>
    <t>Halfling</t>
  </si>
  <si>
    <t>Half-Orc</t>
  </si>
  <si>
    <t>Hobgoblin</t>
  </si>
  <si>
    <t>Human</t>
  </si>
  <si>
    <t>Kobold</t>
  </si>
  <si>
    <t>Orc</t>
  </si>
  <si>
    <t>Darkvision 60'</t>
  </si>
  <si>
    <t>Stonecunning</t>
  </si>
  <si>
    <t>+2 on saves against poison</t>
  </si>
  <si>
    <t>+2 on saves against spells</t>
  </si>
  <si>
    <t>+1 on attacks against orcs and goblinoids</t>
  </si>
  <si>
    <t>+4 dodge bonus to AC versus giants</t>
  </si>
  <si>
    <t>+2 on stone and metal Appraise checks</t>
  </si>
  <si>
    <t>+2 on stone and metal Craft checks</t>
  </si>
  <si>
    <t>Immune to sleep spells</t>
  </si>
  <si>
    <t>+2 on saves against enchantments</t>
  </si>
  <si>
    <t>Low-light vision</t>
  </si>
  <si>
    <t xml:space="preserve"> </t>
  </si>
  <si>
    <t>+2 on saves against illusions</t>
  </si>
  <si>
    <t>+1 on illusion save DCs</t>
  </si>
  <si>
    <t>+1 on attacks against kobolds and goblinoids</t>
  </si>
  <si>
    <t>speak with animals 1/day</t>
  </si>
  <si>
    <t>Immune to sleep</t>
  </si>
  <si>
    <t>Elven blood</t>
  </si>
  <si>
    <t>+2 on saves against fear</t>
  </si>
  <si>
    <t>Orc blood</t>
  </si>
  <si>
    <t>Light Sensitivity</t>
  </si>
  <si>
    <t>Racial abilities</t>
  </si>
  <si>
    <t>Base Speed</t>
  </si>
  <si>
    <t>TOTALS:</t>
  </si>
  <si>
    <t>character level:</t>
  </si>
  <si>
    <t>number of classes:</t>
  </si>
  <si>
    <t>Total</t>
  </si>
  <si>
    <t>Spent</t>
  </si>
  <si>
    <t>Remaining</t>
  </si>
  <si>
    <t>number of skill points you are spending on</t>
  </si>
  <si>
    <t>Character Name:</t>
  </si>
  <si>
    <t>Player Name:</t>
  </si>
  <si>
    <t>Score</t>
  </si>
  <si>
    <t>Modifier</t>
  </si>
  <si>
    <t>Knowledge
(architecture and 
engineering)</t>
  </si>
  <si>
    <t>Knowledge
(dungeon-
eering)</t>
  </si>
  <si>
    <t>Knowledge
(nobility and
royalty)</t>
  </si>
  <si>
    <t>Appraise</t>
  </si>
  <si>
    <t>Balance</t>
  </si>
  <si>
    <t>Bluff</t>
  </si>
  <si>
    <t>Climb</t>
  </si>
  <si>
    <t>Concen-
tration</t>
  </si>
  <si>
    <t>Craft</t>
  </si>
  <si>
    <t>Decipher
Script</t>
  </si>
  <si>
    <t>Diplo-
macy</t>
  </si>
  <si>
    <t>Disable
Device</t>
  </si>
  <si>
    <t>Disguise</t>
  </si>
  <si>
    <t>Escape
Artist</t>
  </si>
  <si>
    <t>Forgery</t>
  </si>
  <si>
    <t>Gath.
Info.</t>
  </si>
  <si>
    <t>Handle
Animal</t>
  </si>
  <si>
    <t>Heal</t>
  </si>
  <si>
    <t>Hide</t>
  </si>
  <si>
    <t>Intimi-
date</t>
  </si>
  <si>
    <t>Jump</t>
  </si>
  <si>
    <t>Knowledge
(arcana)</t>
  </si>
  <si>
    <t>Knowledge
(geography)</t>
  </si>
  <si>
    <t>Knowledge
(history)</t>
  </si>
  <si>
    <t>Knowledge
(local)</t>
  </si>
  <si>
    <t>Knowledge
(nature)</t>
  </si>
  <si>
    <t>Knowledge
(religion)</t>
  </si>
  <si>
    <t>Knowledge
(the planes)</t>
  </si>
  <si>
    <t>Listen</t>
  </si>
  <si>
    <t>Move
Silently</t>
  </si>
  <si>
    <t>Open
Lock</t>
  </si>
  <si>
    <t>Perform</t>
  </si>
  <si>
    <t>Profession</t>
  </si>
  <si>
    <t>Ride</t>
  </si>
  <si>
    <t>Search</t>
  </si>
  <si>
    <t>Sense
Motive</t>
  </si>
  <si>
    <t>Sleight
of Hand</t>
  </si>
  <si>
    <t>Speak
Language</t>
  </si>
  <si>
    <t>Spellcraft</t>
  </si>
  <si>
    <t>Spot</t>
  </si>
  <si>
    <t>Survival</t>
  </si>
  <si>
    <t>Swim</t>
  </si>
  <si>
    <t>Tumble</t>
  </si>
  <si>
    <t>Use Magic
Device</t>
  </si>
  <si>
    <t>Use
Rope</t>
  </si>
  <si>
    <t>Knowledge</t>
  </si>
  <si>
    <t>Custom</t>
  </si>
  <si>
    <t>Concentration</t>
  </si>
  <si>
    <t>Decipher Script</t>
  </si>
  <si>
    <t>Diplomacy</t>
  </si>
  <si>
    <t>Disable Device</t>
  </si>
  <si>
    <t>Escape Artist</t>
  </si>
  <si>
    <t>Gather Information</t>
  </si>
  <si>
    <t>Handle Animal</t>
  </si>
  <si>
    <t>Intimidate</t>
  </si>
  <si>
    <t>Move Silently</t>
  </si>
  <si>
    <t>Open Lock</t>
  </si>
  <si>
    <t>Sense Motive</t>
  </si>
  <si>
    <t>Sleight of Hand</t>
  </si>
  <si>
    <t>Speak Language</t>
  </si>
  <si>
    <t>Use Magic Device</t>
  </si>
  <si>
    <t>Use Rope</t>
  </si>
  <si>
    <t>total ranks:</t>
  </si>
  <si>
    <t>maximum ranks</t>
  </si>
  <si>
    <t>class skill:</t>
  </si>
  <si>
    <t>cross-class:</t>
  </si>
  <si>
    <t>Acrobatic</t>
  </si>
  <si>
    <t>Agile</t>
  </si>
  <si>
    <t>Alertness</t>
  </si>
  <si>
    <t>Animal Affinity</t>
  </si>
  <si>
    <t>Armor Proficiency (Heavy)</t>
  </si>
  <si>
    <t>Armor Proficiency (Medium)</t>
  </si>
  <si>
    <t>Armor Proficiency (Light)</t>
  </si>
  <si>
    <t>Athletic</t>
  </si>
  <si>
    <t>Augment Summoning</t>
  </si>
  <si>
    <t>Blind-Fight</t>
  </si>
  <si>
    <t>Brew Potion</t>
  </si>
  <si>
    <t>Cleave</t>
  </si>
  <si>
    <t>Combat Casting</t>
  </si>
  <si>
    <t>Combat Expertise</t>
  </si>
  <si>
    <t>Combat Reflexes</t>
  </si>
  <si>
    <t>Craft Construct</t>
  </si>
  <si>
    <t>Craft Magic Arms and Armor</t>
  </si>
  <si>
    <t>Craft Rod</t>
  </si>
  <si>
    <t>Craft Staff</t>
  </si>
  <si>
    <t>Craft Wand</t>
  </si>
  <si>
    <t>Craft Wonderous Item</t>
  </si>
  <si>
    <t>Deceitful</t>
  </si>
  <si>
    <t>Deflect Arrows</t>
  </si>
  <si>
    <t>Deft Hands</t>
  </si>
  <si>
    <t>Diehard</t>
  </si>
  <si>
    <t>Diligent</t>
  </si>
  <si>
    <t>Dodge</t>
  </si>
  <si>
    <t>Empower Spell</t>
  </si>
  <si>
    <t>Endurance</t>
  </si>
  <si>
    <t>Enlarge Spell</t>
  </si>
  <si>
    <t>Eschew Materials</t>
  </si>
  <si>
    <t>Exotic Weapon Proficiency</t>
  </si>
  <si>
    <t>Extend Spell</t>
  </si>
  <si>
    <t>Extra Turning</t>
  </si>
  <si>
    <t>Far Shot</t>
  </si>
  <si>
    <t>Forge Ring</t>
  </si>
  <si>
    <t>Great Cleave</t>
  </si>
  <si>
    <t>Great Fortitude</t>
  </si>
  <si>
    <t>Greater Spell Focus</t>
  </si>
  <si>
    <t>Greater Spell Penetration</t>
  </si>
  <si>
    <t>Greater Two-Weapon Fighting</t>
  </si>
  <si>
    <t>Greater Weapon Focus</t>
  </si>
  <si>
    <t>Greater Weapon Specialization</t>
  </si>
  <si>
    <t>Heighten Spell</t>
  </si>
  <si>
    <t>Improved Bull Rush</t>
  </si>
  <si>
    <t>Improved Counterspell</t>
  </si>
  <si>
    <t>Improved Critical</t>
  </si>
  <si>
    <t>Improved Disarm</t>
  </si>
  <si>
    <t>Improved Feint</t>
  </si>
  <si>
    <t>Improved Grapple</t>
  </si>
  <si>
    <t>Improved Initiative</t>
  </si>
  <si>
    <t>Improved Overrun</t>
  </si>
  <si>
    <t>Improved Precise Shot</t>
  </si>
  <si>
    <t>Improved Shield Bash</t>
  </si>
  <si>
    <t>Improved Sunder</t>
  </si>
  <si>
    <t>Improved Trip</t>
  </si>
  <si>
    <t>Improved Turning</t>
  </si>
  <si>
    <t>Improved Two-Weapon Fighting</t>
  </si>
  <si>
    <t>Improved Unarmed Strike</t>
  </si>
  <si>
    <t>Investigator</t>
  </si>
  <si>
    <t>Iron Will</t>
  </si>
  <si>
    <t>Leadership</t>
  </si>
  <si>
    <t>Lightning Reflexes</t>
  </si>
  <si>
    <t>Magical Aptitude</t>
  </si>
  <si>
    <t>Manyshot</t>
  </si>
  <si>
    <t>Martial Weapon Proficiency</t>
  </si>
  <si>
    <t>Maximize Spell</t>
  </si>
  <si>
    <t>Mobility</t>
  </si>
  <si>
    <t>Mounted Archery</t>
  </si>
  <si>
    <t>Mounted Combat</t>
  </si>
  <si>
    <t>Natural Spell</t>
  </si>
  <si>
    <t>Negotiator</t>
  </si>
  <si>
    <t>Nimble Fingers</t>
  </si>
  <si>
    <t>Persuasive</t>
  </si>
  <si>
    <t>Point Blank Shot</t>
  </si>
  <si>
    <t>Power Attack</t>
  </si>
  <si>
    <t>Precise Shot</t>
  </si>
  <si>
    <t>Quick Draw</t>
  </si>
  <si>
    <t>Quicken Spell</t>
  </si>
  <si>
    <t>Rapid Reload</t>
  </si>
  <si>
    <t>Rapid Shot</t>
  </si>
  <si>
    <t>Ride-by-Attack</t>
  </si>
  <si>
    <t>Run</t>
  </si>
  <si>
    <t>Scribe Scroll</t>
  </si>
  <si>
    <t>Self-Sufficient</t>
  </si>
  <si>
    <t>Shield Proficiency</t>
  </si>
  <si>
    <t>Shot on the Run</t>
  </si>
  <si>
    <t>Silent Spell</t>
  </si>
  <si>
    <t>Simple Weapon Proficiency</t>
  </si>
  <si>
    <t>Skill Focus</t>
  </si>
  <si>
    <t>Snatch Arrows</t>
  </si>
  <si>
    <t>Spell Focus</t>
  </si>
  <si>
    <t>Spell Mastery</t>
  </si>
  <si>
    <t>Spell Penetration</t>
  </si>
  <si>
    <t>Spirited Charge</t>
  </si>
  <si>
    <t>Spring Attack</t>
  </si>
  <si>
    <t>Stealthy</t>
  </si>
  <si>
    <t>Still Spell</t>
  </si>
  <si>
    <t>Stunning Fist</t>
  </si>
  <si>
    <t>Toughness</t>
  </si>
  <si>
    <t>Tower Shield Proficiency</t>
  </si>
  <si>
    <t>Track</t>
  </si>
  <si>
    <t>Trample</t>
  </si>
  <si>
    <t>Two-Weapon Defense</t>
  </si>
  <si>
    <t>Two-Weapon Fighting</t>
  </si>
  <si>
    <t>Weapon Finesse</t>
  </si>
  <si>
    <t>Weapon Focus</t>
  </si>
  <si>
    <t>Weapon Specialization</t>
  </si>
  <si>
    <t>Whirlwind Attack</t>
  </si>
  <si>
    <t>Widen Spell</t>
  </si>
  <si>
    <t>Eligible?</t>
  </si>
  <si>
    <t>courtesy of the buhrger. On the web at</t>
  </si>
  <si>
    <t>http://www.freenet.edmonton.ab.ca/~buhrger/dnd/</t>
  </si>
  <si>
    <t>ABILITY SCORES</t>
  </si>
  <si>
    <t>Scroll to S</t>
  </si>
  <si>
    <t>Scroll to L</t>
  </si>
  <si>
    <t>Scroll to D</t>
  </si>
  <si>
    <t>Scroll to H</t>
  </si>
  <si>
    <t>Scroll to K</t>
  </si>
  <si>
    <t>Scroll to T</t>
  </si>
  <si>
    <t>SKILLS</t>
  </si>
  <si>
    <t>Ranks</t>
  </si>
  <si>
    <t>Ability</t>
  </si>
  <si>
    <t>Mods</t>
  </si>
  <si>
    <t>Racial Traits</t>
  </si>
  <si>
    <t>Class Abilities</t>
  </si>
  <si>
    <t>Status</t>
  </si>
  <si>
    <t>Class:</t>
  </si>
  <si>
    <t>Level:</t>
  </si>
  <si>
    <t>Race:</t>
  </si>
  <si>
    <t>Alignment:</t>
  </si>
  <si>
    <t>Deity:</t>
  </si>
  <si>
    <t>Size:</t>
  </si>
  <si>
    <t>Age:</t>
  </si>
  <si>
    <t>Gender:</t>
  </si>
  <si>
    <t>Height:</t>
  </si>
  <si>
    <t>Weight:</t>
  </si>
  <si>
    <t>Eyes:</t>
  </si>
  <si>
    <t>Hair:</t>
  </si>
  <si>
    <t>Skin:</t>
  </si>
  <si>
    <t>Other</t>
  </si>
  <si>
    <t>Hit Dice:</t>
  </si>
  <si>
    <t>Hit Points:</t>
  </si>
  <si>
    <t>Nonlethal Damage:</t>
  </si>
  <si>
    <t>Current hp:</t>
  </si>
  <si>
    <t>Common Class Features</t>
  </si>
  <si>
    <t>Bard Spells</t>
  </si>
  <si>
    <t>Lvl</t>
  </si>
  <si>
    <t>SV</t>
  </si>
  <si>
    <t>Kn</t>
  </si>
  <si>
    <t>/D</t>
  </si>
  <si>
    <t>B</t>
  </si>
  <si>
    <t>per day</t>
  </si>
  <si>
    <t>Cleric Spells</t>
  </si>
  <si>
    <t>Druid Spells</t>
  </si>
  <si>
    <t>Paladin Spells</t>
  </si>
  <si>
    <t>Ranger Spells</t>
  </si>
  <si>
    <t>Sorcerer Spells</t>
  </si>
  <si>
    <t>Wizard Spells</t>
  </si>
  <si>
    <t>Adept Spells</t>
  </si>
  <si>
    <t>Spell Planning</t>
  </si>
  <si>
    <t>Cleric Domains</t>
  </si>
  <si>
    <t>Air</t>
  </si>
  <si>
    <t>Animal</t>
  </si>
  <si>
    <t>Speak with animals 1/day</t>
  </si>
  <si>
    <t>Chaos</t>
  </si>
  <si>
    <t>Death</t>
  </si>
  <si>
    <t>Destruction</t>
  </si>
  <si>
    <t>Earth</t>
  </si>
  <si>
    <t>Evil</t>
  </si>
  <si>
    <t>Fire</t>
  </si>
  <si>
    <t>Good</t>
  </si>
  <si>
    <t>Healing</t>
  </si>
  <si>
    <t>Law</t>
  </si>
  <si>
    <t>Luck</t>
  </si>
  <si>
    <t>Good fortune 1/day</t>
  </si>
  <si>
    <t>Magic</t>
  </si>
  <si>
    <t>Plant</t>
  </si>
  <si>
    <t>Protection</t>
  </si>
  <si>
    <t>Sun</t>
  </si>
  <si>
    <t>Greater turning 1/day</t>
  </si>
  <si>
    <t>Travel</t>
  </si>
  <si>
    <t>Trickery</t>
  </si>
  <si>
    <t>Water</t>
  </si>
  <si>
    <t>SAVING THROWS</t>
  </si>
  <si>
    <t>FORT</t>
  </si>
  <si>
    <t>REF</t>
  </si>
  <si>
    <t>WILL</t>
  </si>
  <si>
    <t>BSB</t>
  </si>
  <si>
    <t>Misc</t>
  </si>
  <si>
    <t>(Con)</t>
  </si>
  <si>
    <t>(Dex)</t>
  </si>
  <si>
    <t>(Wis)</t>
  </si>
  <si>
    <t>Temp</t>
  </si>
  <si>
    <t>ARMOR</t>
  </si>
  <si>
    <t>CLASS</t>
  </si>
  <si>
    <t>Armor</t>
  </si>
  <si>
    <t>Shield</t>
  </si>
  <si>
    <t>Dex</t>
  </si>
  <si>
    <t>Nat</t>
  </si>
  <si>
    <t>Defl</t>
  </si>
  <si>
    <t>Scroll to</t>
  </si>
  <si>
    <t>Size-Based Modifiers</t>
  </si>
  <si>
    <t>Combat Mod</t>
  </si>
  <si>
    <t>Grapple Mod</t>
  </si>
  <si>
    <t>Colossal</t>
  </si>
  <si>
    <t>Gargantuan</t>
  </si>
  <si>
    <t>Huge</t>
  </si>
  <si>
    <t>Large</t>
  </si>
  <si>
    <t>Tiny</t>
  </si>
  <si>
    <t>Diminutive</t>
  </si>
  <si>
    <t>Fine</t>
  </si>
  <si>
    <t>Eligible Classes</t>
  </si>
  <si>
    <t>Flat-Footed</t>
  </si>
  <si>
    <t>Touch</t>
  </si>
  <si>
    <t>Ranger Favored Enemies</t>
  </si>
  <si>
    <t>Aberration</t>
  </si>
  <si>
    <t>Construct</t>
  </si>
  <si>
    <t>Dragon</t>
  </si>
  <si>
    <t>Elemental</t>
  </si>
  <si>
    <t>Fey</t>
  </si>
  <si>
    <t>Giant</t>
  </si>
  <si>
    <t>Humanoid (aquatic)</t>
  </si>
  <si>
    <t>Humanoid (dwarf)</t>
  </si>
  <si>
    <t>Humanoid (elf)</t>
  </si>
  <si>
    <t>Humanoid (goblinoid)</t>
  </si>
  <si>
    <t>Humanoid (gnoll)</t>
  </si>
  <si>
    <t>Humanoid (gnome)</t>
  </si>
  <si>
    <t>Humanoid (halfling)</t>
  </si>
  <si>
    <t>Humanoid (human)</t>
  </si>
  <si>
    <t>Humanoid (orc)</t>
  </si>
  <si>
    <t>Humanoid (reptilian)</t>
  </si>
  <si>
    <t>Magical beast</t>
  </si>
  <si>
    <t>Monstrous humanoid</t>
  </si>
  <si>
    <t>Ooze</t>
  </si>
  <si>
    <t>Outsider (air)</t>
  </si>
  <si>
    <t>Outsider (earth)</t>
  </si>
  <si>
    <t>Outsider (chaotic)</t>
  </si>
  <si>
    <t>Outsider (evil)</t>
  </si>
  <si>
    <t>Outsider (fire)</t>
  </si>
  <si>
    <t>Outsider (good)</t>
  </si>
  <si>
    <t>Outsider (lawful)</t>
  </si>
  <si>
    <t>Outsider (native)</t>
  </si>
  <si>
    <t>Outsider (water)</t>
  </si>
  <si>
    <t>Undead</t>
  </si>
  <si>
    <t>Vermin</t>
  </si>
  <si>
    <t>Schools of Magic</t>
  </si>
  <si>
    <t>Abjuration</t>
  </si>
  <si>
    <t>Conjuration</t>
  </si>
  <si>
    <t>Divination</t>
  </si>
  <si>
    <t>Enchantment</t>
  </si>
  <si>
    <t>Evocation</t>
  </si>
  <si>
    <t>Illusion</t>
  </si>
  <si>
    <t>Necromancy</t>
  </si>
  <si>
    <t>Transmutation</t>
  </si>
  <si>
    <t>Prestige Classes Go Here</t>
  </si>
  <si>
    <t>Int</t>
  </si>
  <si>
    <r>
      <t>Skill Selection:</t>
    </r>
    <r>
      <rPr>
        <sz val="10"/>
        <rFont val="Arial"/>
        <family val="0"/>
      </rPr>
      <t xml:space="preserve"> for each level, enter the</t>
    </r>
  </si>
  <si>
    <t>Damage Reduction</t>
  </si>
  <si>
    <t>Spell Resistance</t>
  </si>
  <si>
    <t>Initiative</t>
  </si>
  <si>
    <t>Class Features Scratch Area</t>
  </si>
  <si>
    <t>name</t>
  </si>
  <si>
    <t>type</t>
  </si>
  <si>
    <t>prof?</t>
  </si>
  <si>
    <t>bonus</t>
  </si>
  <si>
    <t>max dex bonus</t>
  </si>
  <si>
    <t>armor check penalty</t>
  </si>
  <si>
    <t>spell failure</t>
  </si>
  <si>
    <t>Banded</t>
  </si>
  <si>
    <t>Heavy</t>
  </si>
  <si>
    <t>Breastplate</t>
  </si>
  <si>
    <t>Chain shirt</t>
  </si>
  <si>
    <t>Light</t>
  </si>
  <si>
    <t>Chainmail</t>
  </si>
  <si>
    <t>Full plate</t>
  </si>
  <si>
    <t>Half-plate</t>
  </si>
  <si>
    <t>Leather</t>
  </si>
  <si>
    <t>Padded</t>
  </si>
  <si>
    <t>Scale</t>
  </si>
  <si>
    <t>Splint</t>
  </si>
  <si>
    <t>Studded leather</t>
  </si>
  <si>
    <t>Buckler</t>
  </si>
  <si>
    <t xml:space="preserve"> - </t>
  </si>
  <si>
    <t>Heavy steel</t>
  </si>
  <si>
    <t>Heavy wooden</t>
  </si>
  <si>
    <t>Light steel</t>
  </si>
  <si>
    <t>Light wooden</t>
  </si>
  <si>
    <t>Tower</t>
  </si>
  <si>
    <t>Damage by Size</t>
  </si>
  <si>
    <t>normal (med)</t>
  </si>
  <si>
    <t>1d1</t>
  </si>
  <si>
    <t>1d2</t>
  </si>
  <si>
    <t>1d3</t>
  </si>
  <si>
    <t>1d4</t>
  </si>
  <si>
    <t>1d6</t>
  </si>
  <si>
    <t>1d8</t>
  </si>
  <si>
    <t>2d6</t>
  </si>
  <si>
    <t>3d6</t>
  </si>
  <si>
    <t>4d6</t>
  </si>
  <si>
    <t>2d4</t>
  </si>
  <si>
    <t>6d6</t>
  </si>
  <si>
    <t>1d10</t>
  </si>
  <si>
    <t>2d8</t>
  </si>
  <si>
    <t>3d8</t>
  </si>
  <si>
    <t>4d8</t>
  </si>
  <si>
    <t>6d8</t>
  </si>
  <si>
    <t>1d12</t>
  </si>
  <si>
    <t>8d6</t>
  </si>
  <si>
    <t>8d8</t>
  </si>
  <si>
    <t>12d6</t>
  </si>
  <si>
    <t>1d20</t>
  </si>
  <si>
    <t>12d8</t>
  </si>
  <si>
    <t>2d10</t>
  </si>
  <si>
    <t>melee weapons</t>
  </si>
  <si>
    <t>s/m/e</t>
  </si>
  <si>
    <t>u/l/o/t</t>
  </si>
  <si>
    <t>damage (M)</t>
  </si>
  <si>
    <t>critical</t>
  </si>
  <si>
    <t>b/p/s</t>
  </si>
  <si>
    <t>weight</t>
  </si>
  <si>
    <t>n/r/d</t>
  </si>
  <si>
    <t>exotic</t>
  </si>
  <si>
    <t>one-handed</t>
  </si>
  <si>
    <t>19-20/x2</t>
  </si>
  <si>
    <t>slashing</t>
  </si>
  <si>
    <t>Battleaxe</t>
  </si>
  <si>
    <t>martial</t>
  </si>
  <si>
    <t>x3</t>
  </si>
  <si>
    <t>Club</t>
  </si>
  <si>
    <t>simple</t>
  </si>
  <si>
    <t>x2</t>
  </si>
  <si>
    <t>bludgeoning</t>
  </si>
  <si>
    <t>Dagger</t>
  </si>
  <si>
    <t>light</t>
  </si>
  <si>
    <t>piercing or slashing</t>
  </si>
  <si>
    <t>Dire flail</t>
  </si>
  <si>
    <t>two-handed</t>
  </si>
  <si>
    <t>double weapon</t>
  </si>
  <si>
    <t>Falchion</t>
  </si>
  <si>
    <t>18-20/x2</t>
  </si>
  <si>
    <t>Flail</t>
  </si>
  <si>
    <t>Gauntlet</t>
  </si>
  <si>
    <t>unarmed</t>
  </si>
  <si>
    <t>Glaive</t>
  </si>
  <si>
    <t>reach</t>
  </si>
  <si>
    <t>x3/x4</t>
  </si>
  <si>
    <t>bludgeoning and piercing</t>
  </si>
  <si>
    <t>Greataxe</t>
  </si>
  <si>
    <t>Greatclub</t>
  </si>
  <si>
    <t>Greatsword</t>
  </si>
  <si>
    <t>Guisarme</t>
  </si>
  <si>
    <t>Halberd</t>
  </si>
  <si>
    <t>Handaxe</t>
  </si>
  <si>
    <t>Heavy flail</t>
  </si>
  <si>
    <t>Heavy mace</t>
  </si>
  <si>
    <t>Heavy pick</t>
  </si>
  <si>
    <t>x4</t>
  </si>
  <si>
    <t>piercing</t>
  </si>
  <si>
    <t>Heavy shield</t>
  </si>
  <si>
    <t>Heavy spiked shield</t>
  </si>
  <si>
    <t>Kama</t>
  </si>
  <si>
    <t>Kukri</t>
  </si>
  <si>
    <t>Lance</t>
  </si>
  <si>
    <t>Light hammer</t>
  </si>
  <si>
    <t>Light mace</t>
  </si>
  <si>
    <t>Light pick</t>
  </si>
  <si>
    <t>Light shield</t>
  </si>
  <si>
    <t>Light spiked shield</t>
  </si>
  <si>
    <t>Longspear</t>
  </si>
  <si>
    <t>Longsword</t>
  </si>
  <si>
    <t>Morningstar</t>
  </si>
  <si>
    <t>Nunchaku</t>
  </si>
  <si>
    <t>Orc double axe</t>
  </si>
  <si>
    <t>Punching dagger</t>
  </si>
  <si>
    <t>Quarterstaff</t>
  </si>
  <si>
    <t>Ranseur</t>
  </si>
  <si>
    <t>Rapier</t>
  </si>
  <si>
    <t>Sai</t>
  </si>
  <si>
    <t>Sap</t>
  </si>
  <si>
    <t>nonlethal</t>
  </si>
  <si>
    <t>Scimitar</t>
  </si>
  <si>
    <t>Scythe</t>
  </si>
  <si>
    <t>Short sword</t>
  </si>
  <si>
    <t>Shortspear</t>
  </si>
  <si>
    <t>Siangham</t>
  </si>
  <si>
    <t>Sickle</t>
  </si>
  <si>
    <t>Spear</t>
  </si>
  <si>
    <t>Spiked armor</t>
  </si>
  <si>
    <t>Spiked chain</t>
  </si>
  <si>
    <t>Spiked gauntlet</t>
  </si>
  <si>
    <t>Throwing axe</t>
  </si>
  <si>
    <t>Trident</t>
  </si>
  <si>
    <t>Two-bladed sword</t>
  </si>
  <si>
    <t>Unarmed strike</t>
  </si>
  <si>
    <t>Warhammer</t>
  </si>
  <si>
    <t>Whip</t>
  </si>
  <si>
    <t>nonlethal, reach</t>
  </si>
  <si>
    <t>t/p</t>
  </si>
  <si>
    <t>range</t>
  </si>
  <si>
    <t>ammo weight</t>
  </si>
  <si>
    <t>Bolas</t>
  </si>
  <si>
    <t>thrown</t>
  </si>
  <si>
    <t>Composite longbow</t>
  </si>
  <si>
    <t>projectile</t>
  </si>
  <si>
    <t>Composite shortbow</t>
  </si>
  <si>
    <t>Dart</t>
  </si>
  <si>
    <t>Hand crossbow</t>
  </si>
  <si>
    <t>Heavy crossbow</t>
  </si>
  <si>
    <t>Javelin</t>
  </si>
  <si>
    <t>Light crossbow</t>
  </si>
  <si>
    <t>Longbow</t>
  </si>
  <si>
    <t>Net</t>
  </si>
  <si>
    <t>Repeating heavy crossbow</t>
  </si>
  <si>
    <t>Repeating light crossbow</t>
  </si>
  <si>
    <t>Shortbow</t>
  </si>
  <si>
    <t>Shuriken</t>
  </si>
  <si>
    <t>Sling</t>
  </si>
  <si>
    <t>crit improvement</t>
  </si>
  <si>
    <t>improved</t>
  </si>
  <si>
    <t>15-20/x2</t>
  </si>
  <si>
    <t>17-20/x2</t>
  </si>
  <si>
    <t>19-20/x3</t>
  </si>
  <si>
    <t>19-20/x3/x4</t>
  </si>
  <si>
    <t>19-20/x4</t>
  </si>
  <si>
    <t>monk's unarmed damage</t>
  </si>
  <si>
    <t>level</t>
  </si>
  <si>
    <t>damage</t>
  </si>
  <si>
    <t>Carrying Capacity</t>
  </si>
  <si>
    <t>Unmodified</t>
  </si>
  <si>
    <t>Heavy Load</t>
  </si>
  <si>
    <t>normal</t>
  </si>
  <si>
    <t>Wizard Spells Per Day</t>
  </si>
  <si>
    <t>Sorcerer Spells Per Day</t>
  </si>
  <si>
    <t>Sorcerer Spells Known</t>
  </si>
  <si>
    <t>Cleric and Druid Spells Per Day</t>
  </si>
  <si>
    <t>Paladin and Ranger Spells Per Day</t>
  </si>
  <si>
    <t>Bard Spells Per Day</t>
  </si>
  <si>
    <t>Bard Spells Known</t>
  </si>
  <si>
    <t>Adept Spells Per Day</t>
  </si>
  <si>
    <t>Feats Scratch Area</t>
  </si>
  <si>
    <t>Arcane Caster Level:</t>
  </si>
  <si>
    <t>Divine Caster Level:</t>
  </si>
  <si>
    <t>Caster Level:</t>
  </si>
  <si>
    <t>Touch attack</t>
  </si>
  <si>
    <t>Load Mod</t>
  </si>
  <si>
    <t>Quadrupedal Load Mod</t>
  </si>
  <si>
    <t>Medium:</t>
  </si>
  <si>
    <t>Heavy:</t>
  </si>
  <si>
    <t>Lift over head:</t>
  </si>
  <si>
    <t>Lift off ground:</t>
  </si>
  <si>
    <t>Push or Drag:</t>
  </si>
  <si>
    <t>Light:</t>
  </si>
  <si>
    <t>10-foot pole</t>
  </si>
  <si>
    <t>Acid</t>
  </si>
  <si>
    <t>Alchemist’s lab</t>
  </si>
  <si>
    <t>Alchemist's fire</t>
  </si>
  <si>
    <t>Amazing lock</t>
  </si>
  <si>
    <t>Antitoxin</t>
  </si>
  <si>
    <t>Artisan’s outfit</t>
  </si>
  <si>
    <t>Artisan’s tools</t>
  </si>
  <si>
    <t>Average lock</t>
  </si>
  <si>
    <t>Backpack</t>
  </si>
  <si>
    <t>Barrel</t>
  </si>
  <si>
    <t>Basket</t>
  </si>
  <si>
    <t>Bedroll</t>
  </si>
  <si>
    <t>Bell</t>
  </si>
  <si>
    <t>Belt pouch</t>
  </si>
  <si>
    <t>Block and tackle</t>
  </si>
  <si>
    <t>Bottle of wine</t>
  </si>
  <si>
    <t>Bucket</t>
  </si>
  <si>
    <t>Bullseye lantern</t>
  </si>
  <si>
    <t>Caltrops</t>
  </si>
  <si>
    <t>Candle</t>
  </si>
  <si>
    <t>Chain</t>
  </si>
  <si>
    <t>Chalk</t>
  </si>
  <si>
    <t>Chest</t>
  </si>
  <si>
    <t>Chunk of meat</t>
  </si>
  <si>
    <t>Clay jug</t>
  </si>
  <si>
    <t>Clay mug</t>
  </si>
  <si>
    <t>Clay pitcher</t>
  </si>
  <si>
    <t>Cleric’s vestments</t>
  </si>
  <si>
    <t>Climber’s kit</t>
  </si>
  <si>
    <t>Cold weather outfit</t>
  </si>
  <si>
    <t>Common lamp</t>
  </si>
  <si>
    <t>Courtier’s outfit</t>
  </si>
  <si>
    <t>Crowbar</t>
  </si>
  <si>
    <t>Disguise kit</t>
  </si>
  <si>
    <t>Entertainer’s outfit</t>
  </si>
  <si>
    <t>Everburning torch</t>
  </si>
  <si>
    <t>Explorer’s outfit</t>
  </si>
  <si>
    <t>Firewood</t>
  </si>
  <si>
    <t>Fishhook</t>
  </si>
  <si>
    <t>Fishing net</t>
  </si>
  <si>
    <t>Flask</t>
  </si>
  <si>
    <t>Flint and steel</t>
  </si>
  <si>
    <t>Gallon of ale</t>
  </si>
  <si>
    <t>Glass wine bottle</t>
  </si>
  <si>
    <t>Good lock</t>
  </si>
  <si>
    <t>Grappling hook</t>
  </si>
  <si>
    <t>Hammer</t>
  </si>
  <si>
    <t>Healer’s kit</t>
  </si>
  <si>
    <t>Hempen rope</t>
  </si>
  <si>
    <t>Holly and mistletoe</t>
  </si>
  <si>
    <t>Holy water</t>
  </si>
  <si>
    <t>Hooded lantern</t>
  </si>
  <si>
    <t>Hourglass</t>
  </si>
  <si>
    <t>Hunk of cheese</t>
  </si>
  <si>
    <t>Ink</t>
  </si>
  <si>
    <t>Inkpen</t>
  </si>
  <si>
    <t>Iron pot</t>
  </si>
  <si>
    <t>Ladder</t>
  </si>
  <si>
    <t>Loaf of bread</t>
  </si>
  <si>
    <t>Magnifying glass</t>
  </si>
  <si>
    <t>Manacles</t>
  </si>
  <si>
    <t>Map case</t>
  </si>
  <si>
    <t>Masterwork manacles</t>
  </si>
  <si>
    <t>Merchant's scale</t>
  </si>
  <si>
    <t>Miner's pick</t>
  </si>
  <si>
    <t>Monk’s outfit</t>
  </si>
  <si>
    <t>Mug of ale</t>
  </si>
  <si>
    <t>Noble’s outfit</t>
  </si>
  <si>
    <t>Oil</t>
  </si>
  <si>
    <t>Paper</t>
  </si>
  <si>
    <t>Parchment</t>
  </si>
  <si>
    <t>Peasant’s outfit</t>
  </si>
  <si>
    <t>Pitcher of wine</t>
  </si>
  <si>
    <t>Piton</t>
  </si>
  <si>
    <t>Portable ram</t>
  </si>
  <si>
    <t>Royal outfit</t>
  </si>
  <si>
    <t>Sack</t>
  </si>
  <si>
    <t>Scholar’s outfit</t>
  </si>
  <si>
    <t>Scroll Case</t>
  </si>
  <si>
    <t>Sealing wax</t>
  </si>
  <si>
    <t>Sewing needle</t>
  </si>
  <si>
    <t>Shovel</t>
  </si>
  <si>
    <t>Signal whistle</t>
  </si>
  <si>
    <t>Signet ring</t>
  </si>
  <si>
    <t>Silk rope</t>
  </si>
  <si>
    <t>Silver holy symbol</t>
  </si>
  <si>
    <t>Sledge</t>
  </si>
  <si>
    <t>Small steel mirror</t>
  </si>
  <si>
    <t>Smokestick</t>
  </si>
  <si>
    <t>Soap</t>
  </si>
  <si>
    <t>Spade</t>
  </si>
  <si>
    <t>Spell component pouch</t>
  </si>
  <si>
    <t>Spellbook</t>
  </si>
  <si>
    <t>Spyglass</t>
  </si>
  <si>
    <t>Sunrod</t>
  </si>
  <si>
    <t>Tanglefoot bag</t>
  </si>
  <si>
    <t>Tent</t>
  </si>
  <si>
    <t>Thieves’ tools</t>
  </si>
  <si>
    <t>Thunderstone</t>
  </si>
  <si>
    <t>Tindertwig</t>
  </si>
  <si>
    <t>Torch</t>
  </si>
  <si>
    <t>Trail rations</t>
  </si>
  <si>
    <t>Traveler’s outfit</t>
  </si>
  <si>
    <t>Very simple lock</t>
  </si>
  <si>
    <t>Vial</t>
  </si>
  <si>
    <t>Water clock</t>
  </si>
  <si>
    <t>Waterskin</t>
  </si>
  <si>
    <t>Whetstone</t>
  </si>
  <si>
    <t>Winter blanket</t>
  </si>
  <si>
    <t>Wooden holy symbol</t>
  </si>
  <si>
    <t>Melee Weapons</t>
  </si>
  <si>
    <t>Weapon:</t>
  </si>
  <si>
    <t>Gn. hooked hammer (hammer)</t>
  </si>
  <si>
    <t>Gn. hooked hammer (hook)</t>
  </si>
  <si>
    <t>Dw. urgrosh (axe)</t>
  </si>
  <si>
    <t>Dw. urgrosh (spear)</t>
  </si>
  <si>
    <t>Wield:</t>
  </si>
  <si>
    <t>Armor and Protective Items</t>
  </si>
  <si>
    <t>Armor:</t>
  </si>
  <si>
    <t>Bonus:</t>
  </si>
  <si>
    <t>Special:</t>
  </si>
  <si>
    <t>Shield:</t>
  </si>
  <si>
    <t>Damage Die:</t>
  </si>
  <si>
    <t>Crit:</t>
  </si>
  <si>
    <t>Ranged Weapons</t>
  </si>
  <si>
    <t>Other Gear</t>
  </si>
  <si>
    <t>item</t>
  </si>
  <si>
    <t>quantity</t>
  </si>
  <si>
    <t>Musical instrument, common</t>
  </si>
  <si>
    <t>Artisan's tools, masterwork</t>
  </si>
  <si>
    <t>Musical instrument, masterwork</t>
  </si>
  <si>
    <t>Thieves' tools, masterwork</t>
  </si>
  <si>
    <t>Tool, masterwork</t>
  </si>
  <si>
    <t>Total Weight Carried:</t>
  </si>
  <si>
    <t>Load:</t>
  </si>
  <si>
    <t>Hop to Top</t>
  </si>
  <si>
    <t>Enter custom items here</t>
  </si>
  <si>
    <t>Armor Bonus:</t>
  </si>
  <si>
    <t>Max Dex Bonus:</t>
  </si>
  <si>
    <t>Arcane Spell Failure:</t>
  </si>
  <si>
    <t>Check Penalty:</t>
  </si>
  <si>
    <t>Shield Bonus:</t>
  </si>
  <si>
    <t>Range:</t>
  </si>
  <si>
    <t>Armor Weight Factor</t>
  </si>
  <si>
    <t>Weapon Weight Factor</t>
  </si>
  <si>
    <t>Page 1</t>
  </si>
  <si>
    <t>Page 2</t>
  </si>
  <si>
    <t>Page 3</t>
  </si>
  <si>
    <t>Page 4</t>
  </si>
  <si>
    <t>Other Protective Items</t>
  </si>
  <si>
    <t>Name:</t>
  </si>
  <si>
    <t>Attack Bonus</t>
  </si>
  <si>
    <t>Damage</t>
  </si>
  <si>
    <t>Base</t>
  </si>
  <si>
    <t>Full Attack:</t>
  </si>
  <si>
    <t>Prof?</t>
  </si>
  <si>
    <t>Ammo:</t>
  </si>
  <si>
    <t>Languages</t>
  </si>
  <si>
    <t>BASE ATTACK</t>
  </si>
  <si>
    <t>FULL ATTACK</t>
  </si>
  <si>
    <t>Coins Carried</t>
  </si>
  <si>
    <t>Copper:</t>
  </si>
  <si>
    <t>Silver:</t>
  </si>
  <si>
    <t>Gold:</t>
  </si>
  <si>
    <t>Platinum:</t>
  </si>
  <si>
    <t>Total (gp)</t>
  </si>
  <si>
    <t>Gems Carried</t>
  </si>
  <si>
    <t>GEAR</t>
  </si>
  <si>
    <t>Special Combat Actions</t>
  </si>
  <si>
    <t>Grapple modifier:</t>
  </si>
  <si>
    <t>Bonus languages at 1st level:</t>
  </si>
  <si>
    <t>Ranks in Speak Language:</t>
  </si>
  <si>
    <t>Bull Rush</t>
  </si>
  <si>
    <t>Overrum</t>
  </si>
  <si>
    <t>Trip</t>
  </si>
  <si>
    <t>Attack</t>
  </si>
  <si>
    <t>Defense</t>
  </si>
  <si>
    <t>Proficient?</t>
  </si>
  <si>
    <t>Movement</t>
  </si>
  <si>
    <t>n/r/other head</t>
  </si>
  <si>
    <t>In armor/with load</t>
  </si>
  <si>
    <t>One hour</t>
  </si>
  <si>
    <t>One day</t>
  </si>
  <si>
    <t>Type:</t>
  </si>
  <si>
    <t>Item</t>
  </si>
  <si>
    <t>Instructions: Enter your basic character information (including class features,</t>
  </si>
  <si>
    <t>below), on this page, then proceed to the pages in the link box for skill, feat,</t>
  </si>
  <si>
    <t>and gear selection. Click "View the Sheet" to view the sheet. Enjoy!</t>
  </si>
  <si>
    <t>Experience Points</t>
  </si>
  <si>
    <t>Min. for current level</t>
  </si>
  <si>
    <t>Current</t>
  </si>
  <si>
    <t>Required for next level</t>
  </si>
  <si>
    <t>Exotic Weapon Proficiencies:</t>
  </si>
  <si>
    <t>Martial Weapon Proficiencies</t>
  </si>
  <si>
    <t>Bastard sword (one-handed)</t>
  </si>
  <si>
    <t>Bastard sword (two-handed)</t>
  </si>
  <si>
    <t>Dw. waraxe (one-handed)</t>
  </si>
  <si>
    <t>Dw. waraxe (two-handed)</t>
  </si>
  <si>
    <t>Finessable Weapons</t>
  </si>
  <si>
    <t>Proficient Weapons</t>
  </si>
  <si>
    <t>Notes</t>
  </si>
  <si>
    <t>Arcane Spell Failure</t>
  </si>
  <si>
    <t>Armor check penalties</t>
  </si>
  <si>
    <t>TWF?</t>
  </si>
  <si>
    <t>Primary Penalty</t>
  </si>
  <si>
    <t>Off Penalty</t>
  </si>
  <si>
    <t>Shield?</t>
  </si>
  <si>
    <t>Kno. (arcana)</t>
  </si>
  <si>
    <t>Kno. (dungeoneering)</t>
  </si>
  <si>
    <t>Kno. (arch. and eng.)</t>
  </si>
  <si>
    <t>Kno. (geography)</t>
  </si>
  <si>
    <t>Kno. (history)</t>
  </si>
  <si>
    <t>Kno. (local)</t>
  </si>
  <si>
    <t>Kno. (nature)</t>
  </si>
  <si>
    <t>Kno. (nobility and royalty)</t>
  </si>
  <si>
    <t>Kno. (religion)</t>
  </si>
  <si>
    <t>Kno. (the planes)</t>
  </si>
  <si>
    <t>reduced speed?</t>
  </si>
  <si>
    <t>Normal Speed</t>
  </si>
  <si>
    <t>Reduced Speed</t>
  </si>
  <si>
    <t>M.D.</t>
  </si>
  <si>
    <t>ACP</t>
  </si>
  <si>
    <t>Max Dex</t>
  </si>
  <si>
    <t>Speed</t>
  </si>
  <si>
    <t>Martial Weapons</t>
  </si>
  <si>
    <t>Exotic Weapons</t>
  </si>
  <si>
    <t>Simple Weapons</t>
  </si>
  <si>
    <t>Human Bonus Feat</t>
  </si>
  <si>
    <t>Regular Feats by Level</t>
  </si>
  <si>
    <t>Wizard Bonus Feats</t>
  </si>
  <si>
    <t>Fighter Bonus Feats</t>
  </si>
  <si>
    <t>Multi-Take Selection Area</t>
  </si>
  <si>
    <t>Exotic Weapon Proficiencies</t>
  </si>
  <si>
    <t>Feat</t>
  </si>
  <si>
    <t>WizBonus</t>
  </si>
  <si>
    <t>FtrBonus</t>
  </si>
  <si>
    <t>Bonus Feat</t>
  </si>
  <si>
    <t>Selected Feat</t>
  </si>
  <si>
    <t>Rogue Bonus Feats</t>
  </si>
  <si>
    <t>(if you select a feat multiple times, and its effects do not stack, enter particulars here)</t>
  </si>
  <si>
    <t>Eligible Feats Scratch</t>
  </si>
  <si>
    <t>Wizard Feats Scratch</t>
  </si>
  <si>
    <t>Fighter Feats Scratch</t>
  </si>
  <si>
    <t>Multi-Take Selections (for office use only)</t>
  </si>
  <si>
    <t>each skill. Your ranks will be calculated.</t>
  </si>
  <si>
    <t>(key ability)</t>
  </si>
  <si>
    <t>Other feats</t>
  </si>
  <si>
    <t>Spell Masteries</t>
  </si>
  <si>
    <t>Dungeons and Dragons character sheet version 2.0</t>
  </si>
  <si>
    <t>Cross-class skills are shown in grey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</si>
</sst>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6">
    <font>
      <sz val="10"/>
      <name val="Arial"/>
      <family val="0"/>
    </font>
    <font>
      <b/>
      <sz val="10"/>
      <name val="Arial"/>
      <family val="2"/>
    </font>
    <font>
      <sz val="10"/>
      <name val="Times New Roman"/>
      <family val="1"/>
    </font>
    <font>
      <u val="single"/>
      <sz val="10"/>
      <color indexed="12"/>
      <name val="Arial"/>
      <family val="0"/>
    </font>
    <font>
      <u val="single"/>
      <sz val="10"/>
      <color indexed="36"/>
      <name val="Arial"/>
      <family val="0"/>
    </font>
    <font>
      <b/>
      <sz val="8"/>
      <name val="Arial"/>
      <family val="2"/>
    </font>
    <font>
      <b/>
      <sz val="10"/>
      <name val="Times New Roman"/>
      <family val="1"/>
    </font>
    <font>
      <b/>
      <sz val="6"/>
      <name val="Arial"/>
      <family val="2"/>
    </font>
    <font>
      <b/>
      <sz val="10"/>
      <color indexed="9"/>
      <name val="Times New Roman"/>
      <family val="1"/>
    </font>
    <font>
      <b/>
      <u val="single"/>
      <sz val="10"/>
      <color indexed="12"/>
      <name val="Arial"/>
      <family val="2"/>
    </font>
    <font>
      <sz val="10"/>
      <color indexed="55"/>
      <name val="Arial"/>
      <family val="2"/>
    </font>
    <font>
      <i/>
      <u val="single"/>
      <sz val="10"/>
      <color indexed="12"/>
      <name val="Arial"/>
      <family val="2"/>
    </font>
    <font>
      <u val="single"/>
      <sz val="10"/>
      <name val="Arial"/>
      <family val="2"/>
    </font>
    <font>
      <b/>
      <sz val="10"/>
      <color indexed="12"/>
      <name val="Arial"/>
      <family val="2"/>
    </font>
    <font>
      <sz val="10"/>
      <color indexed="9"/>
      <name val="Arial"/>
      <family val="2"/>
    </font>
    <font>
      <sz val="8"/>
      <name val="Tahoma"/>
      <family val="2"/>
    </font>
  </fonts>
  <fills count="4">
    <fill>
      <patternFill/>
    </fill>
    <fill>
      <patternFill patternType="gray125"/>
    </fill>
    <fill>
      <patternFill patternType="solid">
        <fgColor indexed="9"/>
        <bgColor indexed="64"/>
      </patternFill>
    </fill>
    <fill>
      <patternFill patternType="solid">
        <fgColor indexed="8"/>
        <bgColor indexed="64"/>
      </patternFill>
    </fill>
  </fills>
  <borders count="30">
    <border>
      <left/>
      <right/>
      <top/>
      <bottom/>
      <diagonal/>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63"/>
      </left>
      <right style="thin">
        <color indexed="10"/>
      </right>
      <top style="thin">
        <color indexed="10"/>
      </top>
      <bottom style="thin">
        <color indexed="10"/>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10"/>
      </left>
      <right>
        <color indexed="63"/>
      </right>
      <top>
        <color indexed="63"/>
      </top>
      <bottom>
        <color indexed="63"/>
      </bottom>
    </border>
    <border>
      <left style="thin">
        <color indexed="10"/>
      </left>
      <right style="thin">
        <color indexed="10"/>
      </right>
      <top>
        <color indexed="63"/>
      </top>
      <bottom style="thin">
        <color indexed="10"/>
      </bottom>
    </border>
    <border>
      <left style="thin"/>
      <right style="thin"/>
      <top style="thin"/>
      <bottom style="thin">
        <color indexed="10"/>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color indexed="10"/>
      </top>
      <bottom style="thin">
        <color indexed="10"/>
      </bottom>
    </border>
    <border>
      <left style="thin"/>
      <right style="thin"/>
      <top style="thin">
        <color indexed="10"/>
      </top>
      <bottom style="thin"/>
    </border>
    <border>
      <left>
        <color indexed="63"/>
      </left>
      <right>
        <color indexed="63"/>
      </right>
      <top style="thin">
        <color indexed="10"/>
      </top>
      <bottom>
        <color indexed="63"/>
      </bottom>
    </border>
    <border>
      <left style="thin"/>
      <right>
        <color indexed="63"/>
      </right>
      <top style="thin"/>
      <bottom style="thin"/>
    </border>
    <border>
      <left>
        <color indexed="63"/>
      </left>
      <right style="thin"/>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style="thin">
        <color indexed="10"/>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2" borderId="0" xfId="0" applyFill="1" applyAlignment="1">
      <alignment shrinkToFit="1"/>
    </xf>
    <xf numFmtId="0" fontId="1" fillId="2" borderId="0" xfId="0" applyFont="1" applyFill="1" applyAlignment="1">
      <alignment shrinkToFit="1"/>
    </xf>
    <xf numFmtId="0" fontId="2" fillId="2" borderId="0" xfId="0" applyFont="1" applyFill="1" applyAlignment="1">
      <alignment shrinkToFit="1"/>
    </xf>
    <xf numFmtId="0" fontId="3" fillId="2" borderId="1" xfId="20" applyFill="1" applyBorder="1" applyAlignment="1">
      <alignment horizontal="center" shrinkToFit="1"/>
    </xf>
    <xf numFmtId="0" fontId="3" fillId="2" borderId="2" xfId="20" applyFill="1" applyBorder="1" applyAlignment="1">
      <alignment horizontal="center" shrinkToFit="1"/>
    </xf>
    <xf numFmtId="0" fontId="3" fillId="2" borderId="3" xfId="20" applyFill="1" applyBorder="1" applyAlignment="1">
      <alignment horizontal="center" shrinkToFit="1"/>
    </xf>
    <xf numFmtId="0" fontId="3" fillId="2" borderId="4" xfId="20" applyFill="1" applyBorder="1" applyAlignment="1">
      <alignment horizontal="center" shrinkToFit="1"/>
    </xf>
    <xf numFmtId="0" fontId="1" fillId="0" borderId="0" xfId="0" applyFont="1" applyAlignment="1">
      <alignment horizontal="center"/>
    </xf>
    <xf numFmtId="0" fontId="1" fillId="2" borderId="4" xfId="0" applyFont="1" applyFill="1" applyBorder="1" applyAlignment="1">
      <alignment horizontal="center" shrinkToFit="1"/>
    </xf>
    <xf numFmtId="0" fontId="1" fillId="0" borderId="3" xfId="0" applyFont="1" applyBorder="1" applyAlignment="1">
      <alignment horizontal="center"/>
    </xf>
    <xf numFmtId="0" fontId="0" fillId="2" borderId="0" xfId="0" applyFill="1" applyAlignment="1">
      <alignment horizontal="left" shrinkToFit="1"/>
    </xf>
    <xf numFmtId="0" fontId="1" fillId="2" borderId="0" xfId="0" applyFont="1" applyFill="1" applyAlignment="1">
      <alignment horizontal="center" shrinkToFit="1"/>
    </xf>
    <xf numFmtId="0" fontId="0" fillId="2" borderId="0" xfId="0" applyFill="1" applyAlignment="1">
      <alignment horizontal="right" shrinkToFit="1"/>
    </xf>
    <xf numFmtId="0" fontId="1" fillId="2" borderId="5" xfId="0" applyFont="1" applyFill="1" applyBorder="1" applyAlignment="1">
      <alignment horizontal="center" shrinkToFit="1"/>
    </xf>
    <xf numFmtId="0" fontId="5" fillId="0" borderId="0" xfId="0" applyFont="1" applyAlignment="1">
      <alignment horizontal="center"/>
    </xf>
    <xf numFmtId="0" fontId="0" fillId="0" borderId="0" xfId="0" applyAlignment="1" quotePrefix="1">
      <alignment/>
    </xf>
    <xf numFmtId="0" fontId="1" fillId="0" borderId="0" xfId="0" applyFont="1" applyAlignment="1">
      <alignment shrinkToFit="1"/>
    </xf>
    <xf numFmtId="0" fontId="0" fillId="0" borderId="0" xfId="0" applyAlignment="1">
      <alignment shrinkToFit="1"/>
    </xf>
    <xf numFmtId="0" fontId="0" fillId="0" borderId="0" xfId="0" applyAlignment="1">
      <alignment horizontal="center" shrinkToFit="1"/>
    </xf>
    <xf numFmtId="0" fontId="0" fillId="2" borderId="0" xfId="0" applyFill="1" applyAlignment="1">
      <alignment horizontal="center" shrinkToFit="1"/>
    </xf>
    <xf numFmtId="0" fontId="1" fillId="2" borderId="0" xfId="0" applyFont="1" applyFill="1" applyAlignment="1">
      <alignment horizontal="right" shrinkToFit="1"/>
    </xf>
    <xf numFmtId="0" fontId="2" fillId="2" borderId="0" xfId="0" applyFont="1" applyFill="1" applyAlignment="1">
      <alignment horizontal="center" shrinkToFit="1"/>
    </xf>
    <xf numFmtId="0" fontId="1" fillId="2" borderId="0" xfId="0" applyFont="1" applyFill="1" applyBorder="1" applyAlignment="1" applyProtection="1">
      <alignment/>
      <protection/>
    </xf>
    <xf numFmtId="0" fontId="7"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center" vertical="center" wrapText="1"/>
      <protection/>
    </xf>
    <xf numFmtId="0" fontId="0" fillId="2" borderId="6" xfId="0" applyFill="1" applyBorder="1" applyAlignment="1" applyProtection="1">
      <alignment horizontal="center" shrinkToFit="1"/>
      <protection locked="0"/>
    </xf>
    <xf numFmtId="0" fontId="0" fillId="2" borderId="7" xfId="0" applyFill="1" applyBorder="1" applyAlignment="1" applyProtection="1">
      <alignment horizontal="center" shrinkToFit="1"/>
      <protection locked="0"/>
    </xf>
    <xf numFmtId="0" fontId="0" fillId="2" borderId="8" xfId="0" applyFill="1" applyBorder="1" applyAlignment="1" applyProtection="1">
      <alignment horizontal="center" shrinkToFit="1"/>
      <protection locked="0"/>
    </xf>
    <xf numFmtId="0" fontId="0" fillId="2" borderId="9" xfId="0" applyFill="1" applyBorder="1" applyAlignment="1">
      <alignment horizontal="center" shrinkToFit="1"/>
    </xf>
    <xf numFmtId="0" fontId="0" fillId="2" borderId="7" xfId="0" applyFont="1" applyFill="1" applyBorder="1" applyAlignment="1" applyProtection="1">
      <alignment vertical="center"/>
      <protection locked="0"/>
    </xf>
    <xf numFmtId="0" fontId="1" fillId="2" borderId="10" xfId="0" applyFont="1" applyFill="1" applyBorder="1" applyAlignment="1">
      <alignment horizontal="center" shrinkToFit="1"/>
    </xf>
    <xf numFmtId="0" fontId="1" fillId="2" borderId="11" xfId="0" applyFont="1" applyFill="1" applyBorder="1" applyAlignment="1">
      <alignment horizontal="center" shrinkToFit="1"/>
    </xf>
    <xf numFmtId="0" fontId="0" fillId="2" borderId="0" xfId="0" applyFill="1" applyBorder="1" applyAlignment="1">
      <alignment horizontal="left" shrinkToFit="1"/>
    </xf>
    <xf numFmtId="0" fontId="0" fillId="2" borderId="9" xfId="0" applyFill="1" applyBorder="1" applyAlignment="1">
      <alignment shrinkToFit="1"/>
    </xf>
    <xf numFmtId="0" fontId="0" fillId="2" borderId="12" xfId="0" applyFill="1" applyBorder="1" applyAlignment="1">
      <alignment shrinkToFit="1"/>
    </xf>
    <xf numFmtId="0" fontId="3" fillId="2" borderId="0" xfId="20" applyFill="1" applyAlignment="1">
      <alignment shrinkToFit="1"/>
    </xf>
    <xf numFmtId="0" fontId="2" fillId="2" borderId="2" xfId="0" applyFont="1" applyFill="1" applyBorder="1" applyAlignment="1">
      <alignment shrinkToFit="1"/>
    </xf>
    <xf numFmtId="0" fontId="2" fillId="2" borderId="0" xfId="0" applyFont="1" applyFill="1" applyBorder="1" applyAlignment="1">
      <alignment shrinkToFit="1"/>
    </xf>
    <xf numFmtId="0" fontId="2" fillId="2" borderId="9" xfId="0" applyFont="1" applyFill="1" applyBorder="1" applyAlignment="1">
      <alignment horizontal="center" shrinkToFit="1"/>
    </xf>
    <xf numFmtId="0" fontId="3" fillId="2" borderId="0" xfId="20" applyFill="1" applyAlignment="1">
      <alignment horizontal="center" shrinkToFit="1"/>
    </xf>
    <xf numFmtId="0" fontId="0" fillId="2" borderId="13" xfId="0" applyFill="1" applyBorder="1" applyAlignment="1" applyProtection="1">
      <alignment horizontal="center" shrinkToFit="1"/>
      <protection/>
    </xf>
    <xf numFmtId="0" fontId="6" fillId="2" borderId="0" xfId="0" applyFont="1" applyFill="1" applyAlignment="1">
      <alignment horizontal="left" shrinkToFit="1"/>
    </xf>
    <xf numFmtId="0" fontId="0" fillId="2" borderId="14" xfId="0" applyFill="1" applyBorder="1" applyAlignment="1" applyProtection="1">
      <alignment horizontal="center" shrinkToFit="1"/>
      <protection locked="0"/>
    </xf>
    <xf numFmtId="0" fontId="0" fillId="2" borderId="15" xfId="0" applyFill="1" applyBorder="1" applyAlignment="1">
      <alignment horizontal="center" shrinkToFit="1"/>
    </xf>
    <xf numFmtId="0" fontId="10" fillId="2" borderId="0" xfId="0" applyFont="1" applyFill="1" applyAlignment="1">
      <alignment shrinkToFit="1"/>
    </xf>
    <xf numFmtId="0" fontId="0" fillId="2" borderId="0" xfId="0" applyFill="1" applyAlignment="1" applyProtection="1">
      <alignment shrinkToFit="1"/>
      <protection locked="0"/>
    </xf>
    <xf numFmtId="0" fontId="2" fillId="2" borderId="9" xfId="0" applyFont="1" applyFill="1" applyBorder="1" applyAlignment="1">
      <alignment shrinkToFit="1"/>
    </xf>
    <xf numFmtId="0" fontId="2" fillId="2" borderId="9" xfId="0" applyFont="1" applyFill="1" applyBorder="1" applyAlignment="1" applyProtection="1">
      <alignment shrinkToFit="1"/>
      <protection locked="0"/>
    </xf>
    <xf numFmtId="0" fontId="11" fillId="2" borderId="0" xfId="20" applyFont="1" applyFill="1" applyAlignment="1">
      <alignment horizontal="center" shrinkToFit="1"/>
    </xf>
    <xf numFmtId="0" fontId="1" fillId="2" borderId="0" xfId="0" applyFont="1" applyFill="1" applyBorder="1" applyAlignment="1">
      <alignment horizontal="center" shrinkToFit="1"/>
    </xf>
    <xf numFmtId="0" fontId="1" fillId="0" borderId="0" xfId="0" applyFont="1" applyAlignment="1">
      <alignment/>
    </xf>
    <xf numFmtId="16" fontId="0" fillId="0" borderId="0" xfId="0" applyNumberFormat="1" applyAlignment="1">
      <alignment/>
    </xf>
    <xf numFmtId="0" fontId="0" fillId="0" borderId="0" xfId="0" applyAlignment="1">
      <alignment horizontal="center"/>
    </xf>
    <xf numFmtId="0" fontId="0" fillId="0" borderId="0" xfId="0" applyFont="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0" fillId="2" borderId="6" xfId="0" applyFill="1" applyBorder="1" applyAlignment="1" applyProtection="1">
      <alignment shrinkToFit="1"/>
      <protection locked="0"/>
    </xf>
    <xf numFmtId="0" fontId="0" fillId="2" borderId="7" xfId="0" applyFill="1" applyBorder="1" applyAlignment="1" applyProtection="1">
      <alignment shrinkToFit="1"/>
      <protection locked="0"/>
    </xf>
    <xf numFmtId="0" fontId="12" fillId="2" borderId="0" xfId="0" applyFont="1" applyFill="1" applyAlignment="1">
      <alignment horizontal="center" shrinkToFit="1"/>
    </xf>
    <xf numFmtId="0" fontId="2" fillId="2" borderId="4" xfId="0" applyFont="1" applyFill="1" applyBorder="1" applyAlignment="1">
      <alignment shrinkToFit="1"/>
    </xf>
    <xf numFmtId="0" fontId="2" fillId="2" borderId="1" xfId="0" applyFont="1" applyFill="1" applyBorder="1" applyAlignment="1">
      <alignment shrinkToFit="1"/>
    </xf>
    <xf numFmtId="0" fontId="2" fillId="2" borderId="11" xfId="0" applyFont="1" applyFill="1" applyBorder="1" applyAlignment="1">
      <alignment shrinkToFit="1"/>
    </xf>
    <xf numFmtId="0" fontId="6" fillId="2" borderId="0" xfId="0" applyFont="1" applyFill="1" applyAlignment="1">
      <alignment horizontal="center" shrinkToFit="1"/>
    </xf>
    <xf numFmtId="0" fontId="14" fillId="2" borderId="0" xfId="0" applyFont="1" applyFill="1" applyBorder="1" applyAlignment="1" applyProtection="1">
      <alignment shrinkToFit="1"/>
      <protection locked="0"/>
    </xf>
    <xf numFmtId="0" fontId="14" fillId="2" borderId="0" xfId="0" applyFont="1" applyFill="1" applyAlignment="1">
      <alignment shrinkToFit="1"/>
    </xf>
    <xf numFmtId="0" fontId="0" fillId="2" borderId="4" xfId="0" applyFill="1" applyBorder="1" applyAlignment="1">
      <alignment shrinkToFit="1"/>
    </xf>
    <xf numFmtId="0" fontId="0" fillId="2" borderId="16" xfId="0" applyFill="1" applyBorder="1" applyAlignment="1">
      <alignment shrinkToFit="1"/>
    </xf>
    <xf numFmtId="0" fontId="0" fillId="2" borderId="1" xfId="0" applyFill="1" applyBorder="1" applyAlignment="1">
      <alignment shrinkToFit="1"/>
    </xf>
    <xf numFmtId="0" fontId="0" fillId="2" borderId="2" xfId="0" applyFill="1" applyBorder="1" applyAlignment="1">
      <alignment shrinkToFit="1"/>
    </xf>
    <xf numFmtId="0" fontId="0" fillId="2" borderId="0" xfId="0" applyFill="1" applyBorder="1" applyAlignment="1">
      <alignment shrinkToFit="1"/>
    </xf>
    <xf numFmtId="0" fontId="0" fillId="2" borderId="3" xfId="0" applyFill="1" applyBorder="1" applyAlignment="1">
      <alignment shrinkToFit="1"/>
    </xf>
    <xf numFmtId="0" fontId="0" fillId="2" borderId="10" xfId="0" applyFill="1" applyBorder="1" applyAlignment="1">
      <alignment shrinkToFit="1"/>
    </xf>
    <xf numFmtId="0" fontId="0" fillId="2" borderId="5" xfId="0" applyFill="1" applyBorder="1" applyAlignment="1">
      <alignment shrinkToFit="1"/>
    </xf>
    <xf numFmtId="0" fontId="0" fillId="2" borderId="11" xfId="0" applyFill="1" applyBorder="1" applyAlignment="1">
      <alignment shrinkToFit="1"/>
    </xf>
    <xf numFmtId="0" fontId="0" fillId="2" borderId="0" xfId="0" applyFill="1" applyBorder="1" applyAlignment="1">
      <alignment horizontal="center" shrinkToFit="1"/>
    </xf>
    <xf numFmtId="0" fontId="0" fillId="2" borderId="16" xfId="0" applyFill="1" applyBorder="1" applyAlignment="1">
      <alignment horizontal="center" shrinkToFit="1"/>
    </xf>
    <xf numFmtId="0" fontId="0" fillId="2" borderId="0" xfId="0" applyFill="1" applyBorder="1" applyAlignment="1" applyProtection="1">
      <alignment horizontal="center" shrinkToFit="1"/>
      <protection/>
    </xf>
    <xf numFmtId="0" fontId="6" fillId="2" borderId="12" xfId="0" applyFont="1" applyFill="1" applyBorder="1" applyAlignment="1">
      <alignment horizontal="center" shrinkToFit="1"/>
    </xf>
    <xf numFmtId="0" fontId="0" fillId="2" borderId="9" xfId="0" applyFill="1" applyBorder="1" applyAlignment="1">
      <alignment horizontal="left"/>
    </xf>
    <xf numFmtId="0" fontId="0" fillId="2" borderId="9" xfId="0" applyFont="1" applyFill="1" applyBorder="1" applyAlignment="1">
      <alignment horizontal="left"/>
    </xf>
    <xf numFmtId="0" fontId="0" fillId="2" borderId="0" xfId="0" applyFill="1" applyBorder="1" applyAlignment="1">
      <alignment/>
    </xf>
    <xf numFmtId="0" fontId="0" fillId="2" borderId="9" xfId="0" applyFill="1" applyBorder="1" applyAlignment="1">
      <alignment/>
    </xf>
    <xf numFmtId="0" fontId="0" fillId="2" borderId="17" xfId="0" applyFill="1" applyBorder="1" applyAlignment="1">
      <alignment shrinkToFit="1"/>
    </xf>
    <xf numFmtId="0" fontId="0" fillId="2" borderId="18" xfId="0" applyFill="1" applyBorder="1" applyAlignment="1">
      <alignment shrinkToFit="1"/>
    </xf>
    <xf numFmtId="0" fontId="0" fillId="2" borderId="15" xfId="0" applyFill="1" applyBorder="1" applyAlignment="1" applyProtection="1">
      <alignment horizontal="right" shrinkToFit="1"/>
      <protection locked="0"/>
    </xf>
    <xf numFmtId="0" fontId="0" fillId="2" borderId="19" xfId="0" applyFill="1" applyBorder="1" applyAlignment="1" applyProtection="1">
      <alignment horizontal="right" shrinkToFit="1"/>
      <protection locked="0"/>
    </xf>
    <xf numFmtId="0" fontId="0" fillId="2" borderId="20" xfId="0" applyFill="1" applyBorder="1" applyAlignment="1" applyProtection="1">
      <alignment horizontal="right" shrinkToFit="1"/>
      <protection locked="0"/>
    </xf>
    <xf numFmtId="0" fontId="0" fillId="2" borderId="21" xfId="0" applyFill="1" applyBorder="1" applyAlignment="1" applyProtection="1">
      <alignment horizontal="center" shrinkToFit="1"/>
      <protection locked="0"/>
    </xf>
    <xf numFmtId="0" fontId="5" fillId="2" borderId="0" xfId="0" applyFont="1" applyFill="1" applyBorder="1" applyAlignment="1" applyProtection="1">
      <alignment vertical="center"/>
      <protection/>
    </xf>
    <xf numFmtId="0" fontId="5"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wrapText="1"/>
      <protection/>
    </xf>
    <xf numFmtId="0" fontId="7" fillId="2" borderId="0" xfId="0" applyFont="1" applyFill="1" applyBorder="1" applyAlignment="1" applyProtection="1">
      <alignment vertical="center"/>
      <protection/>
    </xf>
    <xf numFmtId="0" fontId="1" fillId="2" borderId="0" xfId="0" applyFont="1" applyFill="1" applyBorder="1" applyAlignment="1" applyProtection="1">
      <alignment/>
      <protection/>
    </xf>
    <xf numFmtId="0" fontId="0" fillId="2" borderId="22" xfId="0" applyFill="1" applyBorder="1" applyAlignment="1">
      <alignment horizontal="right" shrinkToFit="1"/>
    </xf>
    <xf numFmtId="0" fontId="0" fillId="2" borderId="23" xfId="0" applyFill="1" applyBorder="1" applyAlignment="1">
      <alignment horizontal="right" shrinkToFit="1"/>
    </xf>
    <xf numFmtId="0" fontId="1" fillId="2" borderId="0" xfId="0" applyFont="1" applyFill="1" applyBorder="1" applyAlignment="1" applyProtection="1">
      <alignment horizontal="center" vertical="center"/>
      <protection/>
    </xf>
    <xf numFmtId="0" fontId="1" fillId="2" borderId="0" xfId="0" applyFont="1" applyFill="1" applyBorder="1" applyAlignment="1" applyProtection="1">
      <alignment vertical="center"/>
      <protection/>
    </xf>
    <xf numFmtId="0" fontId="1" fillId="2" borderId="0"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0" fillId="2" borderId="2" xfId="0" applyFont="1" applyFill="1" applyBorder="1" applyAlignment="1">
      <alignment horizontal="left" shrinkToFit="1"/>
    </xf>
    <xf numFmtId="0" fontId="0" fillId="2" borderId="0" xfId="0" applyFont="1" applyFill="1" applyBorder="1" applyAlignment="1">
      <alignment horizontal="left" shrinkToFit="1"/>
    </xf>
    <xf numFmtId="0" fontId="1" fillId="2" borderId="0" xfId="0" applyFont="1" applyFill="1" applyBorder="1" applyAlignment="1">
      <alignment horizontal="left" shrinkToFit="1"/>
    </xf>
    <xf numFmtId="0" fontId="0" fillId="2" borderId="0" xfId="0" applyFill="1" applyAlignment="1" applyProtection="1">
      <alignment shrinkToFit="1"/>
      <protection locked="0"/>
    </xf>
    <xf numFmtId="0" fontId="1" fillId="2" borderId="2" xfId="0" applyFont="1" applyFill="1" applyBorder="1" applyAlignment="1">
      <alignment horizontal="left" shrinkToFit="1"/>
    </xf>
    <xf numFmtId="0" fontId="0" fillId="2" borderId="0" xfId="0" applyFill="1" applyAlignment="1">
      <alignment horizontal="left" shrinkToFit="1"/>
    </xf>
    <xf numFmtId="0" fontId="0" fillId="2" borderId="0" xfId="0" applyFill="1" applyAlignment="1" applyProtection="1">
      <alignment horizontal="left" shrinkToFit="1"/>
      <protection locked="0"/>
    </xf>
    <xf numFmtId="0" fontId="1" fillId="2" borderId="2" xfId="0" applyFont="1" applyFill="1" applyBorder="1" applyAlignment="1">
      <alignment horizontal="center" shrinkToFit="1"/>
    </xf>
    <xf numFmtId="0" fontId="1" fillId="2" borderId="0" xfId="0" applyFont="1" applyFill="1" applyAlignment="1">
      <alignment horizontal="center" shrinkToFit="1"/>
    </xf>
    <xf numFmtId="0" fontId="0" fillId="2" borderId="2" xfId="0" applyFill="1" applyBorder="1" applyAlignment="1">
      <alignment horizontal="left" shrinkToFit="1"/>
    </xf>
    <xf numFmtId="0" fontId="0" fillId="2" borderId="0" xfId="0" applyFill="1" applyBorder="1" applyAlignment="1">
      <alignment horizontal="left" shrinkToFit="1"/>
    </xf>
    <xf numFmtId="0" fontId="1" fillId="2" borderId="5" xfId="0" applyFont="1" applyFill="1" applyBorder="1" applyAlignment="1">
      <alignment horizontal="center" shrinkToFit="1"/>
    </xf>
    <xf numFmtId="0" fontId="3" fillId="2" borderId="10" xfId="20" applyFill="1" applyBorder="1" applyAlignment="1">
      <alignment horizontal="center" shrinkToFit="1"/>
    </xf>
    <xf numFmtId="0" fontId="3" fillId="2" borderId="11" xfId="20" applyFill="1" applyBorder="1" applyAlignment="1">
      <alignment horizontal="center" shrinkToFit="1"/>
    </xf>
    <xf numFmtId="0" fontId="0" fillId="2" borderId="24" xfId="0" applyFill="1" applyBorder="1" applyAlignment="1" applyProtection="1">
      <alignment horizontal="left" shrinkToFit="1"/>
      <protection locked="0"/>
    </xf>
    <xf numFmtId="0" fontId="0" fillId="2" borderId="25" xfId="0" applyFill="1" applyBorder="1" applyAlignment="1" applyProtection="1">
      <alignment horizontal="left" shrinkToFit="1"/>
      <protection locked="0"/>
    </xf>
    <xf numFmtId="0" fontId="0" fillId="2" borderId="8" xfId="0" applyFill="1" applyBorder="1" applyAlignment="1" applyProtection="1">
      <alignment horizontal="left" shrinkToFit="1"/>
      <protection locked="0"/>
    </xf>
    <xf numFmtId="0" fontId="0" fillId="2" borderId="0" xfId="0" applyFill="1" applyAlignment="1">
      <alignment horizontal="right" shrinkToFit="1"/>
    </xf>
    <xf numFmtId="0" fontId="0" fillId="2" borderId="24" xfId="0" applyFill="1" applyBorder="1" applyAlignment="1" applyProtection="1">
      <alignment horizontal="center" shrinkToFit="1"/>
      <protection locked="0"/>
    </xf>
    <xf numFmtId="0" fontId="0" fillId="2" borderId="8" xfId="0" applyFill="1" applyBorder="1" applyAlignment="1" applyProtection="1">
      <alignment horizontal="center" shrinkToFit="1"/>
      <protection locked="0"/>
    </xf>
    <xf numFmtId="0" fontId="0" fillId="2" borderId="26" xfId="0" applyFill="1" applyBorder="1" applyAlignment="1" applyProtection="1">
      <alignment horizontal="center" shrinkToFit="1"/>
      <protection locked="0"/>
    </xf>
    <xf numFmtId="0" fontId="0" fillId="2" borderId="27" xfId="0" applyFill="1" applyBorder="1" applyAlignment="1" applyProtection="1">
      <alignment horizontal="center" shrinkToFit="1"/>
      <protection locked="0"/>
    </xf>
    <xf numFmtId="0" fontId="1" fillId="2" borderId="0" xfId="0" applyFont="1" applyFill="1" applyAlignment="1">
      <alignment horizontal="left" shrinkToFit="1"/>
    </xf>
    <xf numFmtId="0" fontId="0" fillId="2" borderId="0" xfId="0" applyFill="1" applyAlignment="1">
      <alignment horizontal="center" shrinkToFit="1"/>
    </xf>
    <xf numFmtId="0" fontId="1" fillId="2" borderId="0" xfId="0" applyFont="1" applyFill="1" applyBorder="1" applyAlignment="1">
      <alignment horizontal="right" shrinkToFit="1"/>
    </xf>
    <xf numFmtId="0" fontId="1" fillId="2" borderId="0" xfId="0" applyFont="1" applyFill="1" applyBorder="1" applyAlignment="1">
      <alignment horizontal="center" shrinkToFit="1"/>
    </xf>
    <xf numFmtId="0" fontId="0" fillId="2" borderId="9" xfId="0" applyFill="1" applyBorder="1" applyAlignment="1">
      <alignment horizontal="right" shrinkToFit="1"/>
    </xf>
    <xf numFmtId="0" fontId="1" fillId="2" borderId="4" xfId="0" applyFont="1" applyFill="1" applyBorder="1" applyAlignment="1">
      <alignment horizontal="center" shrinkToFit="1"/>
    </xf>
    <xf numFmtId="0" fontId="1" fillId="2" borderId="16" xfId="0" applyFont="1" applyFill="1" applyBorder="1" applyAlignment="1">
      <alignment horizontal="center" shrinkToFit="1"/>
    </xf>
    <xf numFmtId="0" fontId="1" fillId="2" borderId="1" xfId="0" applyFont="1" applyFill="1" applyBorder="1" applyAlignment="1">
      <alignment horizontal="center" shrinkToFit="1"/>
    </xf>
    <xf numFmtId="0" fontId="0" fillId="2" borderId="0" xfId="0" applyFill="1" applyAlignment="1" applyProtection="1">
      <alignment horizontal="center" shrinkToFit="1"/>
      <protection locked="0"/>
    </xf>
    <xf numFmtId="0" fontId="0" fillId="2" borderId="0" xfId="0" applyFont="1" applyFill="1" applyAlignment="1">
      <alignment horizontal="center" shrinkToFit="1"/>
    </xf>
    <xf numFmtId="0" fontId="0" fillId="2" borderId="9" xfId="0" applyFill="1" applyBorder="1" applyAlignment="1">
      <alignment horizontal="left" shrinkToFit="1"/>
    </xf>
    <xf numFmtId="0" fontId="0" fillId="2" borderId="22" xfId="0" applyFill="1" applyBorder="1" applyAlignment="1">
      <alignment horizontal="left" shrinkToFit="1"/>
    </xf>
    <xf numFmtId="0" fontId="0" fillId="2" borderId="23" xfId="0" applyFill="1" applyBorder="1" applyAlignment="1">
      <alignment horizontal="left" shrinkToFit="1"/>
    </xf>
    <xf numFmtId="0" fontId="1" fillId="2" borderId="22" xfId="0" applyFont="1" applyFill="1" applyBorder="1" applyAlignment="1">
      <alignment horizontal="left" shrinkToFit="1"/>
    </xf>
    <xf numFmtId="0" fontId="1" fillId="2" borderId="23" xfId="0" applyFont="1" applyFill="1" applyBorder="1" applyAlignment="1">
      <alignment horizontal="left" shrinkToFit="1"/>
    </xf>
    <xf numFmtId="0" fontId="0" fillId="2" borderId="2" xfId="0" applyFill="1" applyBorder="1" applyAlignment="1">
      <alignment horizontal="center" shrinkToFit="1"/>
    </xf>
    <xf numFmtId="0" fontId="0" fillId="2" borderId="6" xfId="0" applyFill="1" applyBorder="1" applyAlignment="1" applyProtection="1">
      <alignment horizontal="right" shrinkToFit="1"/>
      <protection locked="0"/>
    </xf>
    <xf numFmtId="0" fontId="1" fillId="2" borderId="28" xfId="0" applyFont="1" applyFill="1" applyBorder="1" applyAlignment="1">
      <alignment horizontal="center" shrinkToFit="1"/>
    </xf>
    <xf numFmtId="0" fontId="2" fillId="2" borderId="0" xfId="0" applyFont="1" applyFill="1" applyAlignment="1">
      <alignment horizontal="center" shrinkToFit="1"/>
    </xf>
    <xf numFmtId="0" fontId="2" fillId="2" borderId="0" xfId="0" applyFont="1" applyFill="1" applyAlignment="1">
      <alignment horizontal="left" shrinkToFit="1"/>
    </xf>
    <xf numFmtId="0" fontId="2" fillId="2" borderId="16" xfId="0" applyFont="1" applyFill="1" applyBorder="1" applyAlignment="1">
      <alignment horizontal="right" shrinkToFit="1"/>
    </xf>
    <xf numFmtId="0" fontId="2" fillId="2" borderId="0" xfId="0" applyFont="1" applyFill="1" applyBorder="1" applyAlignment="1">
      <alignment horizontal="right" shrinkToFit="1"/>
    </xf>
    <xf numFmtId="0" fontId="2" fillId="2" borderId="5" xfId="0" applyFont="1" applyFill="1" applyBorder="1" applyAlignment="1">
      <alignment horizontal="center" shrinkToFit="1"/>
    </xf>
    <xf numFmtId="0" fontId="2" fillId="2" borderId="16" xfId="0" applyFont="1" applyFill="1" applyBorder="1" applyAlignment="1">
      <alignment horizontal="center" shrinkToFit="1"/>
    </xf>
    <xf numFmtId="0" fontId="6" fillId="2" borderId="9" xfId="0" applyFont="1" applyFill="1" applyBorder="1" applyAlignment="1">
      <alignment horizontal="center" shrinkToFit="1"/>
    </xf>
    <xf numFmtId="0" fontId="2" fillId="2" borderId="0" xfId="0" applyFont="1" applyFill="1" applyAlignment="1">
      <alignment horizontal="right" shrinkToFit="1"/>
    </xf>
    <xf numFmtId="0" fontId="2" fillId="2" borderId="2" xfId="0" applyFont="1" applyFill="1" applyBorder="1" applyAlignment="1">
      <alignment horizontal="left" shrinkToFit="1"/>
    </xf>
    <xf numFmtId="0" fontId="2" fillId="2" borderId="0" xfId="0" applyFont="1" applyFill="1" applyBorder="1" applyAlignment="1">
      <alignment horizontal="left" shrinkToFit="1"/>
    </xf>
    <xf numFmtId="0" fontId="2" fillId="2" borderId="3" xfId="0" applyFont="1" applyFill="1" applyBorder="1" applyAlignment="1">
      <alignment horizontal="left" shrinkToFit="1"/>
    </xf>
    <xf numFmtId="0" fontId="2" fillId="2" borderId="9" xfId="0" applyFont="1" applyFill="1" applyBorder="1" applyAlignment="1">
      <alignment horizontal="left" shrinkToFit="1"/>
    </xf>
    <xf numFmtId="0" fontId="2" fillId="2" borderId="9" xfId="0" applyFont="1" applyFill="1" applyBorder="1" applyAlignment="1">
      <alignment horizontal="center" shrinkToFit="1"/>
    </xf>
    <xf numFmtId="0" fontId="2" fillId="2" borderId="10" xfId="0" applyFont="1" applyFill="1" applyBorder="1" applyAlignment="1">
      <alignment horizontal="center" shrinkToFit="1"/>
    </xf>
    <xf numFmtId="0" fontId="2" fillId="2" borderId="10" xfId="0" applyFont="1" applyFill="1" applyBorder="1" applyAlignment="1">
      <alignment horizontal="left" shrinkToFit="1"/>
    </xf>
    <xf numFmtId="0" fontId="2" fillId="2" borderId="5" xfId="0" applyFont="1" applyFill="1" applyBorder="1" applyAlignment="1">
      <alignment horizontal="left" shrinkToFit="1"/>
    </xf>
    <xf numFmtId="0" fontId="2" fillId="2" borderId="11" xfId="0" applyFont="1" applyFill="1" applyBorder="1" applyAlignment="1">
      <alignment horizontal="left" shrinkToFit="1"/>
    </xf>
    <xf numFmtId="0" fontId="8" fillId="3" borderId="4" xfId="0" applyFont="1" applyFill="1" applyBorder="1" applyAlignment="1">
      <alignment horizontal="center" shrinkToFit="1"/>
    </xf>
    <xf numFmtId="0" fontId="8" fillId="3" borderId="16" xfId="0" applyFont="1" applyFill="1" applyBorder="1" applyAlignment="1">
      <alignment horizontal="center" shrinkToFit="1"/>
    </xf>
    <xf numFmtId="0" fontId="8" fillId="3" borderId="1" xfId="0" applyFont="1" applyFill="1" applyBorder="1" applyAlignment="1">
      <alignment horizontal="center" shrinkToFit="1"/>
    </xf>
    <xf numFmtId="0" fontId="2" fillId="2" borderId="4" xfId="0" applyFont="1" applyFill="1" applyBorder="1" applyAlignment="1">
      <alignment horizontal="center" shrinkToFit="1"/>
    </xf>
    <xf numFmtId="0" fontId="2" fillId="2" borderId="9" xfId="0" applyFont="1" applyFill="1" applyBorder="1" applyAlignment="1" applyProtection="1">
      <alignment horizontal="left" shrinkToFit="1"/>
      <protection locked="0"/>
    </xf>
    <xf numFmtId="0" fontId="2" fillId="2" borderId="10" xfId="0" applyFont="1" applyFill="1" applyBorder="1" applyAlignment="1">
      <alignment horizontal="right" shrinkToFit="1"/>
    </xf>
    <xf numFmtId="0" fontId="2" fillId="2" borderId="5" xfId="0" applyFont="1" applyFill="1" applyBorder="1" applyAlignment="1">
      <alignment horizontal="right" shrinkToFit="1"/>
    </xf>
    <xf numFmtId="0" fontId="2" fillId="2" borderId="1" xfId="0" applyFont="1" applyFill="1" applyBorder="1" applyAlignment="1">
      <alignment horizontal="center" shrinkToFit="1"/>
    </xf>
    <xf numFmtId="0" fontId="2" fillId="2" borderId="0" xfId="0" applyFont="1" applyFill="1" applyBorder="1" applyAlignment="1" applyProtection="1">
      <alignment horizontal="center" shrinkToFit="1"/>
      <protection locked="0"/>
    </xf>
    <xf numFmtId="0" fontId="2" fillId="2" borderId="3" xfId="0" applyFont="1" applyFill="1" applyBorder="1" applyAlignment="1" applyProtection="1">
      <alignment horizontal="center" shrinkToFit="1"/>
      <protection locked="0"/>
    </xf>
    <xf numFmtId="0" fontId="2" fillId="2" borderId="11" xfId="0" applyFont="1" applyFill="1" applyBorder="1" applyAlignment="1">
      <alignment horizontal="center" shrinkToFit="1"/>
    </xf>
    <xf numFmtId="0" fontId="2" fillId="2" borderId="4" xfId="0" applyFont="1" applyFill="1" applyBorder="1" applyAlignment="1">
      <alignment horizontal="right" shrinkToFit="1"/>
    </xf>
    <xf numFmtId="0" fontId="2" fillId="2" borderId="2" xfId="0" applyFont="1" applyFill="1" applyBorder="1" applyAlignment="1">
      <alignment horizontal="right" shrinkToFit="1"/>
    </xf>
    <xf numFmtId="0" fontId="8" fillId="3" borderId="0" xfId="0" applyFont="1" applyFill="1" applyAlignment="1">
      <alignment horizontal="center" shrinkToFit="1"/>
    </xf>
    <xf numFmtId="2" fontId="2" fillId="2" borderId="0" xfId="0" applyNumberFormat="1" applyFont="1" applyFill="1" applyAlignment="1">
      <alignment horizontal="left" shrinkToFit="1"/>
    </xf>
    <xf numFmtId="0" fontId="2" fillId="2" borderId="9" xfId="0" applyFont="1" applyFill="1" applyBorder="1" applyAlignment="1" applyProtection="1">
      <alignment horizontal="center" shrinkToFit="1"/>
      <protection locked="0"/>
    </xf>
    <xf numFmtId="0" fontId="2" fillId="2" borderId="9" xfId="0" applyFont="1" applyFill="1" applyBorder="1" applyAlignment="1">
      <alignment horizontal="center" vertical="center" shrinkToFit="1"/>
    </xf>
    <xf numFmtId="0" fontId="1" fillId="0" borderId="10"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2" fillId="2" borderId="16" xfId="0" applyFont="1" applyFill="1" applyBorder="1" applyAlignment="1">
      <alignment horizontal="left" shrinkToFit="1"/>
    </xf>
    <xf numFmtId="0" fontId="2" fillId="2" borderId="1" xfId="0" applyFont="1" applyFill="1" applyBorder="1" applyAlignment="1">
      <alignment horizontal="left" shrinkToFit="1"/>
    </xf>
    <xf numFmtId="0" fontId="9" fillId="2" borderId="4" xfId="20" applyFont="1" applyFill="1" applyBorder="1" applyAlignment="1">
      <alignment horizontal="center" shrinkToFit="1"/>
    </xf>
    <xf numFmtId="0" fontId="9" fillId="2" borderId="16" xfId="20" applyFont="1" applyFill="1" applyBorder="1" applyAlignment="1">
      <alignment horizontal="center" shrinkToFit="1"/>
    </xf>
    <xf numFmtId="0" fontId="9" fillId="2" borderId="1" xfId="20" applyFont="1" applyFill="1" applyBorder="1" applyAlignment="1">
      <alignment horizontal="center" shrinkToFit="1"/>
    </xf>
    <xf numFmtId="0" fontId="9" fillId="2" borderId="2" xfId="20" applyFont="1" applyFill="1" applyBorder="1" applyAlignment="1">
      <alignment horizontal="center" shrinkToFit="1"/>
    </xf>
    <xf numFmtId="0" fontId="9" fillId="2" borderId="0" xfId="20" applyFont="1" applyFill="1" applyBorder="1" applyAlignment="1">
      <alignment horizontal="center" shrinkToFit="1"/>
    </xf>
    <xf numFmtId="0" fontId="9" fillId="2" borderId="3" xfId="20" applyFont="1" applyFill="1" applyBorder="1" applyAlignment="1">
      <alignment horizontal="center" shrinkToFit="1"/>
    </xf>
    <xf numFmtId="0" fontId="9" fillId="2" borderId="2" xfId="20" applyFont="1" applyFill="1" applyBorder="1" applyAlignment="1">
      <alignment horizontal="center" vertical="center" shrinkToFit="1"/>
    </xf>
    <xf numFmtId="0" fontId="9" fillId="2" borderId="0" xfId="20" applyFont="1" applyFill="1" applyBorder="1" applyAlignment="1">
      <alignment horizontal="center" vertical="center" shrinkToFit="1"/>
    </xf>
    <xf numFmtId="0" fontId="9" fillId="2" borderId="10" xfId="20" applyFont="1" applyFill="1" applyBorder="1" applyAlignment="1">
      <alignment horizontal="center" vertical="center" shrinkToFit="1"/>
    </xf>
    <xf numFmtId="0" fontId="9" fillId="2" borderId="5" xfId="20" applyFont="1" applyFill="1" applyBorder="1" applyAlignment="1">
      <alignment horizontal="center" vertical="center" shrinkToFit="1"/>
    </xf>
    <xf numFmtId="0" fontId="9" fillId="2" borderId="3" xfId="20" applyFont="1" applyFill="1" applyBorder="1" applyAlignment="1">
      <alignment horizontal="center" vertical="center" shrinkToFit="1"/>
    </xf>
    <xf numFmtId="0" fontId="9" fillId="2" borderId="11" xfId="20" applyFont="1" applyFill="1" applyBorder="1" applyAlignment="1">
      <alignment horizontal="center" vertical="center" shrinkToFit="1"/>
    </xf>
    <xf numFmtId="0" fontId="2" fillId="2" borderId="0" xfId="0" applyFont="1" applyFill="1" applyBorder="1" applyAlignment="1">
      <alignment horizontal="center" shrinkToFit="1"/>
    </xf>
    <xf numFmtId="0" fontId="13" fillId="2" borderId="2" xfId="20" applyFont="1" applyFill="1" applyBorder="1" applyAlignment="1">
      <alignment horizontal="center" shrinkToFit="1"/>
    </xf>
    <xf numFmtId="0" fontId="13" fillId="2" borderId="0" xfId="20" applyFont="1" applyFill="1" applyBorder="1" applyAlignment="1">
      <alignment horizontal="center" shrinkToFit="1"/>
    </xf>
    <xf numFmtId="0" fontId="13" fillId="2" borderId="3" xfId="20" applyFont="1" applyFill="1" applyBorder="1" applyAlignment="1">
      <alignment horizontal="center" shrinkToFit="1"/>
    </xf>
    <xf numFmtId="0" fontId="13" fillId="2" borderId="10" xfId="20" applyFont="1" applyFill="1" applyBorder="1" applyAlignment="1">
      <alignment horizontal="center" shrinkToFit="1"/>
    </xf>
    <xf numFmtId="0" fontId="13" fillId="2" borderId="5" xfId="20" applyFont="1" applyFill="1" applyBorder="1" applyAlignment="1">
      <alignment horizontal="center" shrinkToFit="1"/>
    </xf>
    <xf numFmtId="0" fontId="13" fillId="2" borderId="11" xfId="20" applyFont="1" applyFill="1" applyBorder="1" applyAlignment="1">
      <alignment horizontal="center" shrinkToFit="1"/>
    </xf>
    <xf numFmtId="0" fontId="1" fillId="0" borderId="2"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9" fillId="2" borderId="4" xfId="20" applyFont="1" applyFill="1" applyBorder="1" applyAlignment="1">
      <alignment horizontal="center" vertical="center" shrinkToFit="1"/>
    </xf>
    <xf numFmtId="0" fontId="9" fillId="2" borderId="16" xfId="20" applyFont="1" applyFill="1" applyBorder="1" applyAlignment="1">
      <alignment horizontal="center" vertical="center" shrinkToFit="1"/>
    </xf>
    <xf numFmtId="0" fontId="9" fillId="2" borderId="1" xfId="20" applyFont="1" applyFill="1" applyBorder="1" applyAlignment="1">
      <alignment horizontal="center" vertical="center" shrinkToFit="1"/>
    </xf>
    <xf numFmtId="0" fontId="6" fillId="2" borderId="0" xfId="0" applyFont="1" applyFill="1" applyAlignment="1">
      <alignment horizontal="center" shrinkToFit="1"/>
    </xf>
    <xf numFmtId="0" fontId="6" fillId="2" borderId="2" xfId="0" applyFont="1" applyFill="1" applyBorder="1" applyAlignment="1">
      <alignment horizontal="center" shrinkToFit="1"/>
    </xf>
    <xf numFmtId="0" fontId="6" fillId="2" borderId="0" xfId="0" applyFont="1" applyFill="1" applyBorder="1" applyAlignment="1">
      <alignment horizontal="center" shrinkToFit="1"/>
    </xf>
    <xf numFmtId="0" fontId="6" fillId="2" borderId="10" xfId="0" applyFont="1" applyFill="1" applyBorder="1" applyAlignment="1">
      <alignment horizontal="center" shrinkToFit="1"/>
    </xf>
    <xf numFmtId="0" fontId="6" fillId="2" borderId="5" xfId="0" applyFont="1" applyFill="1" applyBorder="1" applyAlignment="1">
      <alignment horizontal="center" shrinkToFit="1"/>
    </xf>
    <xf numFmtId="0" fontId="13" fillId="2" borderId="4" xfId="20" applyFont="1" applyFill="1" applyBorder="1" applyAlignment="1">
      <alignment horizontal="center" vertical="center" shrinkToFit="1"/>
    </xf>
    <xf numFmtId="0" fontId="13" fillId="2" borderId="16" xfId="20" applyFont="1" applyFill="1" applyBorder="1" applyAlignment="1">
      <alignment horizontal="center" vertical="center" shrinkToFit="1"/>
    </xf>
    <xf numFmtId="0" fontId="13" fillId="2" borderId="2" xfId="20" applyFont="1" applyFill="1" applyBorder="1" applyAlignment="1">
      <alignment horizontal="center" vertical="center" shrinkToFit="1"/>
    </xf>
    <xf numFmtId="0" fontId="13" fillId="2" borderId="0" xfId="20" applyFont="1" applyFill="1" applyBorder="1" applyAlignment="1">
      <alignment horizontal="center" vertical="center" shrinkToFit="1"/>
    </xf>
    <xf numFmtId="0" fontId="13" fillId="2" borderId="1" xfId="20" applyFont="1" applyFill="1" applyBorder="1" applyAlignment="1">
      <alignment horizontal="center" vertical="center" shrinkToFit="1"/>
    </xf>
    <xf numFmtId="0" fontId="13" fillId="2" borderId="3" xfId="20" applyFont="1" applyFill="1" applyBorder="1" applyAlignment="1">
      <alignment horizontal="center" vertical="center" shrinkToFit="1"/>
    </xf>
    <xf numFmtId="0" fontId="13" fillId="2" borderId="10" xfId="20" applyFont="1" applyFill="1" applyBorder="1" applyAlignment="1">
      <alignment horizontal="center" vertical="center" shrinkToFit="1"/>
    </xf>
    <xf numFmtId="0" fontId="13" fillId="2" borderId="5" xfId="20" applyFont="1" applyFill="1" applyBorder="1" applyAlignment="1">
      <alignment horizontal="center" vertical="center" shrinkToFit="1"/>
    </xf>
    <xf numFmtId="0" fontId="13" fillId="2" borderId="11" xfId="20" applyFont="1" applyFill="1" applyBorder="1" applyAlignment="1">
      <alignment horizontal="center" vertical="center" shrinkToFit="1"/>
    </xf>
    <xf numFmtId="0" fontId="1" fillId="0" borderId="4" xfId="0" applyFont="1" applyBorder="1" applyAlignment="1">
      <alignment horizontal="center"/>
    </xf>
    <xf numFmtId="0" fontId="1" fillId="0" borderId="16" xfId="0" applyFont="1" applyBorder="1" applyAlignment="1">
      <alignment horizontal="center"/>
    </xf>
    <xf numFmtId="0" fontId="1" fillId="0" borderId="1" xfId="0" applyFont="1" applyBorder="1" applyAlignment="1">
      <alignment horizontal="center"/>
    </xf>
    <xf numFmtId="0" fontId="6" fillId="2" borderId="0" xfId="0" applyFont="1" applyFill="1" applyAlignment="1" applyProtection="1">
      <alignment horizontal="center" shrinkToFit="1"/>
      <protection locked="0"/>
    </xf>
    <xf numFmtId="0" fontId="3" fillId="2" borderId="0" xfId="20" applyFill="1" applyAlignment="1">
      <alignment horizontal="center" shrinkToFit="1"/>
    </xf>
    <xf numFmtId="0" fontId="6" fillId="2" borderId="0" xfId="0" applyFont="1" applyFill="1" applyAlignment="1">
      <alignment horizontal="right" shrinkToFit="1"/>
    </xf>
    <xf numFmtId="0" fontId="9" fillId="2" borderId="10" xfId="20" applyFont="1" applyFill="1" applyBorder="1" applyAlignment="1">
      <alignment horizontal="center" shrinkToFit="1"/>
    </xf>
    <xf numFmtId="0" fontId="9" fillId="2" borderId="5" xfId="20" applyFont="1" applyFill="1" applyBorder="1" applyAlignment="1">
      <alignment horizontal="center" shrinkToFit="1"/>
    </xf>
    <xf numFmtId="0" fontId="9" fillId="2" borderId="11" xfId="20" applyFont="1" applyFill="1" applyBorder="1" applyAlignment="1">
      <alignment horizontal="center" shrinkToFit="1"/>
    </xf>
    <xf numFmtId="0" fontId="6" fillId="2" borderId="0" xfId="0" applyFont="1" applyFill="1" applyAlignment="1">
      <alignment horizontal="right" shrinkToFit="1"/>
    </xf>
    <xf numFmtId="0" fontId="2" fillId="2" borderId="3" xfId="0" applyFont="1" applyFill="1" applyBorder="1" applyAlignment="1">
      <alignment horizontal="center" shrinkToFit="1"/>
    </xf>
    <xf numFmtId="0" fontId="6" fillId="2" borderId="2" xfId="0" applyFont="1" applyFill="1" applyBorder="1" applyAlignment="1">
      <alignment horizontal="right" shrinkToFit="1"/>
    </xf>
    <xf numFmtId="0" fontId="6" fillId="2" borderId="0" xfId="0" applyFont="1" applyFill="1" applyBorder="1" applyAlignment="1">
      <alignment horizontal="right" shrinkToFit="1"/>
    </xf>
    <xf numFmtId="0" fontId="6" fillId="2" borderId="3" xfId="0" applyFont="1" applyFill="1" applyBorder="1" applyAlignment="1">
      <alignment horizontal="right" shrinkToFit="1"/>
    </xf>
    <xf numFmtId="0" fontId="8" fillId="3" borderId="22" xfId="0" applyFont="1" applyFill="1" applyBorder="1" applyAlignment="1">
      <alignment horizontal="center" shrinkToFit="1"/>
    </xf>
    <xf numFmtId="0" fontId="8" fillId="3" borderId="29" xfId="0" applyFont="1" applyFill="1" applyBorder="1" applyAlignment="1">
      <alignment horizontal="center" shrinkToFit="1"/>
    </xf>
    <xf numFmtId="0" fontId="8" fillId="3" borderId="23" xfId="0" applyFont="1" applyFill="1" applyBorder="1" applyAlignment="1">
      <alignment horizontal="center" shrinkToFit="1"/>
    </xf>
    <xf numFmtId="0" fontId="8" fillId="3" borderId="5" xfId="0" applyFont="1" applyFill="1" applyBorder="1" applyAlignment="1">
      <alignment horizontal="center" shrinkToFit="1"/>
    </xf>
    <xf numFmtId="0" fontId="8" fillId="3" borderId="11" xfId="0" applyFont="1" applyFill="1" applyBorder="1" applyAlignment="1">
      <alignment horizontal="center" shrinkToFit="1"/>
    </xf>
    <xf numFmtId="0" fontId="2" fillId="2" borderId="22" xfId="0" applyFont="1" applyFill="1" applyBorder="1" applyAlignment="1" applyProtection="1">
      <alignment horizontal="center" shrinkToFit="1"/>
      <protection locked="0"/>
    </xf>
    <xf numFmtId="0" fontId="2" fillId="2" borderId="29" xfId="0" applyFont="1" applyFill="1" applyBorder="1" applyAlignment="1" applyProtection="1">
      <alignment horizontal="center" shrinkToFit="1"/>
      <protection locked="0"/>
    </xf>
    <xf numFmtId="0" fontId="2" fillId="2" borderId="23" xfId="0" applyFont="1" applyFill="1" applyBorder="1" applyAlignment="1" applyProtection="1">
      <alignment horizontal="center" shrinkToFit="1"/>
      <protection locked="0"/>
    </xf>
    <xf numFmtId="0" fontId="2" fillId="2" borderId="4" xfId="0" applyFont="1" applyFill="1" applyBorder="1" applyAlignment="1">
      <alignment horizontal="left" shrinkToFit="1"/>
    </xf>
    <xf numFmtId="0" fontId="2" fillId="2" borderId="4" xfId="0" applyFont="1" applyFill="1" applyBorder="1" applyAlignment="1" applyProtection="1">
      <alignment horizontal="left" shrinkToFit="1"/>
      <protection locked="0"/>
    </xf>
    <xf numFmtId="0" fontId="2" fillId="2" borderId="16" xfId="0" applyFont="1" applyFill="1" applyBorder="1" applyAlignment="1" applyProtection="1">
      <alignment horizontal="left" shrinkToFit="1"/>
      <protection locked="0"/>
    </xf>
    <xf numFmtId="0" fontId="2" fillId="2" borderId="1" xfId="0" applyFont="1" applyFill="1" applyBorder="1" applyAlignment="1" applyProtection="1">
      <alignment horizontal="left" shrinkToFit="1"/>
      <protection locked="0"/>
    </xf>
    <xf numFmtId="0" fontId="2" fillId="2" borderId="22" xfId="0" applyFont="1" applyFill="1" applyBorder="1" applyAlignment="1">
      <alignment horizontal="center" shrinkToFit="1"/>
    </xf>
    <xf numFmtId="0" fontId="2" fillId="2" borderId="29" xfId="0" applyFont="1" applyFill="1" applyBorder="1" applyAlignment="1">
      <alignment horizontal="center" shrinkToFit="1"/>
    </xf>
    <xf numFmtId="0" fontId="2" fillId="2" borderId="23" xfId="0" applyFont="1" applyFill="1" applyBorder="1" applyAlignment="1">
      <alignment horizontal="center" shrinkToFit="1"/>
    </xf>
    <xf numFmtId="0" fontId="0" fillId="0" borderId="0" xfId="0" applyAlignment="1">
      <alignment horizontal="center" shrinkToFit="1"/>
    </xf>
    <xf numFmtId="0" fontId="1" fillId="0" borderId="0" xfId="0" applyFont="1" applyAlignment="1">
      <alignment horizontal="center"/>
    </xf>
    <xf numFmtId="0" fontId="1" fillId="0" borderId="0" xfId="0" applyFont="1" applyAlignment="1">
      <alignment horizontal="center"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auto="1"/>
      </font>
      <border>
        <left>
          <color rgb="FF000000"/>
        </left>
        <right>
          <color rgb="FF000000"/>
        </right>
        <top style="thin"/>
        <bottom style="thin">
          <color rgb="FF000000"/>
        </bottom>
      </border>
    </dxf>
    <dxf>
      <border>
        <left style="thin">
          <color rgb="FFFF0000"/>
        </left>
        <right style="thin">
          <color rgb="FFFF0000"/>
        </right>
        <top style="thin"/>
        <bottom style="thin">
          <color rgb="FFFF0000"/>
        </bottom>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28575</xdr:rowOff>
    </xdr:from>
    <xdr:to>
      <xdr:col>23</xdr:col>
      <xdr:colOff>219075</xdr:colOff>
      <xdr:row>3</xdr:row>
      <xdr:rowOff>123825</xdr:rowOff>
    </xdr:to>
    <xdr:pic>
      <xdr:nvPicPr>
        <xdr:cNvPr id="1" name="Picture 1"/>
        <xdr:cNvPicPr preferRelativeResize="1">
          <a:picLocks noChangeAspect="1"/>
        </xdr:cNvPicPr>
      </xdr:nvPicPr>
      <xdr:blipFill>
        <a:blip r:embed="rId1"/>
        <a:stretch>
          <a:fillRect/>
        </a:stretch>
      </xdr:blipFill>
      <xdr:spPr>
        <a:xfrm>
          <a:off x="3095625" y="28575"/>
          <a:ext cx="26003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reenet.edmonton.ab.ca/~buhrger/dnd/"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97"/>
  <sheetViews>
    <sheetView workbookViewId="0" topLeftCell="A148">
      <selection activeCell="B21" sqref="B21"/>
    </sheetView>
  </sheetViews>
  <sheetFormatPr defaultColWidth="9.140625" defaultRowHeight="12.75"/>
  <cols>
    <col min="1" max="16384" width="9.140625" style="1" customWidth="1"/>
  </cols>
  <sheetData>
    <row r="1" spans="1:6" ht="12.75">
      <c r="A1" s="9" t="s">
        <v>0</v>
      </c>
      <c r="B1" s="4" t="s">
        <v>1</v>
      </c>
      <c r="C1" s="107" t="s">
        <v>5</v>
      </c>
      <c r="D1" s="108"/>
      <c r="E1" s="108"/>
      <c r="F1" s="108"/>
    </row>
    <row r="2" spans="1:9" ht="12.75">
      <c r="A2" s="5" t="s">
        <v>2</v>
      </c>
      <c r="B2" s="6" t="s">
        <v>3</v>
      </c>
      <c r="C2" s="109" t="s">
        <v>832</v>
      </c>
      <c r="D2" s="110"/>
      <c r="E2" s="110"/>
      <c r="F2" s="110"/>
      <c r="G2" s="110"/>
      <c r="H2" s="110"/>
      <c r="I2" s="110"/>
    </row>
    <row r="3" spans="1:9" ht="12.75">
      <c r="A3" s="112" t="s">
        <v>4</v>
      </c>
      <c r="B3" s="113"/>
      <c r="C3" s="109" t="s">
        <v>833</v>
      </c>
      <c r="D3" s="110"/>
      <c r="E3" s="110"/>
      <c r="F3" s="110"/>
      <c r="G3" s="110"/>
      <c r="H3" s="110"/>
      <c r="I3" s="110"/>
    </row>
    <row r="4" spans="1:9" ht="12.75">
      <c r="A4" s="105" t="s">
        <v>834</v>
      </c>
      <c r="B4" s="105"/>
      <c r="C4" s="105"/>
      <c r="D4" s="105"/>
      <c r="E4" s="105"/>
      <c r="F4" s="105"/>
      <c r="G4" s="105"/>
      <c r="H4" s="105"/>
      <c r="I4" s="105"/>
    </row>
    <row r="5" spans="1:6" ht="12.75">
      <c r="A5" s="105"/>
      <c r="B5" s="105"/>
      <c r="C5" s="105"/>
      <c r="D5" s="105"/>
      <c r="E5" s="105"/>
      <c r="F5" s="105"/>
    </row>
    <row r="7" spans="1:9" ht="12.75">
      <c r="A7" s="111" t="s">
        <v>6</v>
      </c>
      <c r="B7" s="111"/>
      <c r="C7" s="111"/>
      <c r="D7" s="111"/>
      <c r="F7" s="111" t="s">
        <v>28</v>
      </c>
      <c r="G7" s="111"/>
      <c r="H7" s="111"/>
      <c r="I7" s="111"/>
    </row>
    <row r="8" spans="1:9" ht="12.75">
      <c r="A8" s="117" t="s">
        <v>16</v>
      </c>
      <c r="B8" s="117"/>
      <c r="C8" s="120"/>
      <c r="D8" s="121"/>
      <c r="F8" s="105" t="s">
        <v>30</v>
      </c>
      <c r="G8" s="105"/>
      <c r="H8" s="105"/>
      <c r="I8" s="105"/>
    </row>
    <row r="9" spans="1:9" ht="12.75">
      <c r="A9" s="117" t="s">
        <v>17</v>
      </c>
      <c r="B9" s="117"/>
      <c r="C9" s="118"/>
      <c r="D9" s="119"/>
      <c r="F9" s="105" t="s">
        <v>31</v>
      </c>
      <c r="G9" s="105"/>
      <c r="H9" s="105"/>
      <c r="I9" s="105"/>
    </row>
    <row r="10" spans="2:9" ht="12.75">
      <c r="B10" s="13" t="s">
        <v>18</v>
      </c>
      <c r="C10" s="118"/>
      <c r="D10" s="119"/>
      <c r="F10" s="105" t="s">
        <v>32</v>
      </c>
      <c r="G10" s="105"/>
      <c r="H10" s="105"/>
      <c r="I10" s="105"/>
    </row>
    <row r="11" spans="1:7" ht="12.75">
      <c r="A11" s="117" t="s">
        <v>19</v>
      </c>
      <c r="B11" s="117"/>
      <c r="C11" s="118"/>
      <c r="D11" s="119"/>
      <c r="F11" s="12" t="s">
        <v>29</v>
      </c>
      <c r="G11" s="2" t="s">
        <v>50</v>
      </c>
    </row>
    <row r="12" spans="2:14" ht="12.75">
      <c r="B12" s="13" t="s">
        <v>20</v>
      </c>
      <c r="C12" s="118"/>
      <c r="D12" s="119"/>
      <c r="F12" s="20">
        <v>1</v>
      </c>
      <c r="G12" s="114"/>
      <c r="H12" s="115"/>
      <c r="I12" s="116"/>
      <c r="J12" s="65">
        <f aca="true" ca="1" t="shared" si="0" ref="J12:J31">IF(ISNA(M12),"",OFFSET(G$11,M12,0))</f>
      </c>
      <c r="K12" s="65">
        <f>IF(LEN(J12)&gt;0,LOOKUP(J12,Classes,Classes!B$3:B$18)&amp;LOOKUP(J12,Classes,Classes!C$3:C$18),"")</f>
      </c>
      <c r="L12" s="65">
        <f>IF(LEN(J12)&gt;0,LOOKUP(J12,Classes,Classes!C$3:C$18)&amp;LOOKUP(J12,Classes,Classes!D$3:D$18),"")</f>
      </c>
      <c r="M12" s="65" t="e">
        <f>MATCH("*",N12:N31,0)</f>
        <v>#N/A</v>
      </c>
      <c r="N12" s="65">
        <f>G12</f>
        <v>0</v>
      </c>
    </row>
    <row r="13" spans="6:14" ht="12.75">
      <c r="F13" s="20">
        <f>F12+1</f>
        <v>2</v>
      </c>
      <c r="G13" s="114"/>
      <c r="H13" s="115"/>
      <c r="I13" s="116"/>
      <c r="J13" s="65">
        <f ca="1" t="shared" si="0"/>
      </c>
      <c r="K13" s="65">
        <f>IF(LEN(J13)&gt;0,"/"&amp;LOOKUP(J13,Classes,Classes!B$3:B$18)&amp;LOOKUP(J13,Classes,Classes!C$3:C$18),"")</f>
      </c>
      <c r="L13" s="65">
        <f>IF(LEN(J13)&gt;0,"+"&amp;LOOKUP(J13,Classes,Classes!C$3:C$18)&amp;LOOKUP(J13,Classes,Classes!D$3:D$18),"")</f>
      </c>
      <c r="M13" s="65" t="e">
        <f ca="1">IF(MATCH("*",OFFSET(N$12,M12,0):N$31,0)+M12&gt;20,NA(),MATCH("*",OFFSET(N$12,M12,0):N$31,0)+M12)</f>
        <v>#N/A</v>
      </c>
      <c r="N13" s="65">
        <f>IF(COUNTIF(G$12:G12,G13)=0,G13)</f>
        <v>0</v>
      </c>
    </row>
    <row r="14" spans="1:14" ht="12.75">
      <c r="A14" s="111" t="s">
        <v>7</v>
      </c>
      <c r="B14" s="111"/>
      <c r="D14" s="111" t="s">
        <v>14</v>
      </c>
      <c r="E14" s="111"/>
      <c r="F14" s="20">
        <f aca="true" t="shared" si="1" ref="F14:F31">F13+1</f>
        <v>3</v>
      </c>
      <c r="G14" s="114"/>
      <c r="H14" s="115"/>
      <c r="I14" s="116"/>
      <c r="J14" s="65">
        <f ca="1" t="shared" si="0"/>
      </c>
      <c r="K14" s="65">
        <f>IF(LEN(J14)&gt;0,"/"&amp;LOOKUP(J14,Classes,Classes!B$3:B$18)&amp;LOOKUP(J14,Classes,Classes!C$3:C$18),"")</f>
      </c>
      <c r="L14" s="65">
        <f>IF(LEN(J14)&gt;0,"+"&amp;LOOKUP(J14,Classes,Classes!C$3:C$18)&amp;LOOKUP(J14,Classes,Classes!D$3:D$18),"")</f>
      </c>
      <c r="M14" s="65" t="e">
        <f ca="1">IF(MATCH("*",OFFSET(N$12,M13,0):N$31,0)+M13&gt;20,NA(),MATCH("*",OFFSET(N$12,M13,0):N$31,0)+M13)</f>
        <v>#N/A</v>
      </c>
      <c r="N14" s="65">
        <f>IF(COUNTIF(G$12:G13,G14)=0,G14)</f>
        <v>0</v>
      </c>
    </row>
    <row r="15" spans="1:14" ht="12.75">
      <c r="A15" s="13" t="s">
        <v>8</v>
      </c>
      <c r="B15" s="43"/>
      <c r="D15" s="13" t="s">
        <v>15</v>
      </c>
      <c r="E15" s="44" t="str">
        <f>IF(ISBLANK(Race),"Medium",LOOKUP(Race,Races,Races!B2:L2))</f>
        <v>Medium</v>
      </c>
      <c r="F15" s="20">
        <f t="shared" si="1"/>
        <v>4</v>
      </c>
      <c r="G15" s="114"/>
      <c r="H15" s="115"/>
      <c r="I15" s="116"/>
      <c r="J15" s="65">
        <f ca="1" t="shared" si="0"/>
      </c>
      <c r="K15" s="65">
        <f>IF(LEN(J15)&gt;0,"/"&amp;LOOKUP(J15,Classes,Classes!B$3:B$18)&amp;LOOKUP(J15,Classes,Classes!C$3:C$18),"")</f>
      </c>
      <c r="L15" s="65">
        <f>IF(LEN(J15)&gt;0,"+"&amp;LOOKUP(J15,Classes,Classes!C$3:C$18)&amp;LOOKUP(J15,Classes,Classes!D$3:D$18),"")</f>
      </c>
      <c r="M15" s="65" t="e">
        <f ca="1">IF(MATCH("*",OFFSET(N$12,M14,0):N$31,0)+M14&gt;20,NA(),MATCH("*",OFFSET(N$12,M14,0):N$31,0)+M14)</f>
        <v>#N/A</v>
      </c>
      <c r="N15" s="65">
        <f>IF(COUNTIF(G$12:G14,G15)=0,G15)</f>
        <v>0</v>
      </c>
    </row>
    <row r="16" spans="1:14" ht="12.75">
      <c r="A16" s="13" t="s">
        <v>9</v>
      </c>
      <c r="B16" s="26"/>
      <c r="D16" s="13" t="s">
        <v>21</v>
      </c>
      <c r="E16" s="26"/>
      <c r="F16" s="20">
        <f t="shared" si="1"/>
        <v>5</v>
      </c>
      <c r="G16" s="114"/>
      <c r="H16" s="115"/>
      <c r="I16" s="116"/>
      <c r="J16" s="65">
        <f ca="1" t="shared" si="0"/>
      </c>
      <c r="K16" s="65">
        <f>IF(LEN(J16)&gt;0,"/"&amp;LOOKUP(J16,Classes,Classes!B$3:B$18)&amp;LOOKUP(J16,Classes,Classes!C$3:C$18),"")</f>
      </c>
      <c r="L16" s="65">
        <f>IF(LEN(J16)&gt;0,"+"&amp;LOOKUP(J16,Classes,Classes!C$3:C$18)&amp;LOOKUP(J16,Classes,Classes!D$3:D$18),"")</f>
      </c>
      <c r="M16" s="65" t="e">
        <f ca="1">IF(MATCH("*",OFFSET(N$12,M15,0):N$31,0)+M15&gt;20,NA(),MATCH("*",OFFSET(N$12,M15,0):N$31,0)+M15)</f>
        <v>#N/A</v>
      </c>
      <c r="N16" s="65">
        <f>IF(COUNTIF(G$12:G15,G16)=0,G16)</f>
        <v>0</v>
      </c>
    </row>
    <row r="17" spans="1:14" ht="12.75">
      <c r="A17" s="13" t="s">
        <v>10</v>
      </c>
      <c r="B17" s="26"/>
      <c r="D17" s="13" t="s">
        <v>22</v>
      </c>
      <c r="E17" s="26"/>
      <c r="F17" s="20">
        <f t="shared" si="1"/>
        <v>6</v>
      </c>
      <c r="G17" s="114"/>
      <c r="H17" s="115"/>
      <c r="I17" s="116"/>
      <c r="J17" s="65">
        <f ca="1" t="shared" si="0"/>
      </c>
      <c r="K17" s="65">
        <f>IF(LEN(J17)&gt;0,"/"&amp;LOOKUP(J17,Classes,Classes!B$3:B$18)&amp;LOOKUP(J17,Classes,Classes!C$3:C$18),"")</f>
      </c>
      <c r="L17" s="65">
        <f>IF(LEN(J17)&gt;0,"+"&amp;LOOKUP(J17,Classes,Classes!C$3:C$18)&amp;LOOKUP(J17,Classes,Classes!D$3:D$18),"")</f>
      </c>
      <c r="M17" s="65" t="e">
        <f ca="1">IF(MATCH("*",OFFSET(N$12,M16,0):N$31,0)+M16&gt;20,NA(),MATCH("*",OFFSET(N$12,M16,0):N$31,0)+M16)</f>
        <v>#N/A</v>
      </c>
      <c r="N17" s="65">
        <f>IF(COUNTIF(G$12:G16,G17)=0,G17)</f>
        <v>0</v>
      </c>
    </row>
    <row r="18" spans="1:14" ht="12.75">
      <c r="A18" s="13" t="s">
        <v>11</v>
      </c>
      <c r="B18" s="26"/>
      <c r="D18" s="13" t="s">
        <v>23</v>
      </c>
      <c r="E18" s="26"/>
      <c r="F18" s="20">
        <f t="shared" si="1"/>
        <v>7</v>
      </c>
      <c r="G18" s="114"/>
      <c r="H18" s="115"/>
      <c r="I18" s="116"/>
      <c r="J18" s="65">
        <f ca="1" t="shared" si="0"/>
      </c>
      <c r="K18" s="65">
        <f>IF(LEN(J18)&gt;0,"/"&amp;LOOKUP(J18,Classes,Classes!B$3:B$18)&amp;LOOKUP(J18,Classes,Classes!C$3:C$18),"")</f>
      </c>
      <c r="L18" s="65">
        <f>IF(LEN(J18)&gt;0,"+"&amp;LOOKUP(J18,Classes,Classes!C$3:C$18)&amp;LOOKUP(J18,Classes,Classes!D$3:D$18),"")</f>
      </c>
      <c r="M18" s="65" t="e">
        <f ca="1">IF(MATCH("*",OFFSET(N$12,M17,0):N$31,0)+M17&gt;20,NA(),MATCH("*",OFFSET(N$12,M17,0):N$31,0)+M17)</f>
        <v>#N/A</v>
      </c>
      <c r="N18" s="65">
        <f>IF(COUNTIF(G$12:G17,G18)=0,G18)</f>
        <v>0</v>
      </c>
    </row>
    <row r="19" spans="1:14" ht="12.75">
      <c r="A19" s="13" t="s">
        <v>12</v>
      </c>
      <c r="B19" s="26"/>
      <c r="D19" s="13" t="s">
        <v>24</v>
      </c>
      <c r="E19" s="26"/>
      <c r="F19" s="20">
        <f t="shared" si="1"/>
        <v>8</v>
      </c>
      <c r="G19" s="114"/>
      <c r="H19" s="115"/>
      <c r="I19" s="116"/>
      <c r="J19" s="65">
        <f ca="1" t="shared" si="0"/>
      </c>
      <c r="K19" s="65">
        <f>IF(LEN(J19)&gt;0,"/"&amp;LOOKUP(J19,Classes,Classes!B$3:B$18)&amp;LOOKUP(J19,Classes,Classes!C$3:C$18),"")</f>
      </c>
      <c r="L19" s="65">
        <f>IF(LEN(J19)&gt;0,"+"&amp;LOOKUP(J19,Classes,Classes!C$3:C$18)&amp;LOOKUP(J19,Classes,Classes!D$3:D$18),"")</f>
      </c>
      <c r="M19" s="65" t="e">
        <f ca="1">IF(MATCH("*",OFFSET(N$12,M18,0):N$31,0)+M18&gt;20,NA(),MATCH("*",OFFSET(N$12,M18,0):N$31,0)+M18)</f>
        <v>#N/A</v>
      </c>
      <c r="N19" s="65">
        <f>IF(COUNTIF(G$12:G18,G19)=0,G19)</f>
        <v>0</v>
      </c>
    </row>
    <row r="20" spans="1:14" ht="12.75">
      <c r="A20" s="13" t="s">
        <v>13</v>
      </c>
      <c r="B20" s="26"/>
      <c r="D20" s="13" t="s">
        <v>25</v>
      </c>
      <c r="E20" s="26"/>
      <c r="F20" s="20">
        <f t="shared" si="1"/>
        <v>9</v>
      </c>
      <c r="G20" s="114"/>
      <c r="H20" s="115"/>
      <c r="I20" s="116"/>
      <c r="J20" s="65">
        <f ca="1" t="shared" si="0"/>
      </c>
      <c r="K20" s="65">
        <f>IF(LEN(J20)&gt;0,"/"&amp;LOOKUP(J20,Classes,Classes!B$3:B$18)&amp;LOOKUP(J20,Classes,Classes!C$3:C$18),"")</f>
      </c>
      <c r="L20" s="65">
        <f>IF(LEN(J20)&gt;0,"+"&amp;LOOKUP(J20,Classes,Classes!C$3:C$18)&amp;LOOKUP(J20,Classes,Classes!D$3:D$18),"")</f>
      </c>
      <c r="M20" s="65" t="e">
        <f ca="1">IF(MATCH("*",OFFSET(N$12,M19,0):N$31,0)+M19&gt;20,NA(),MATCH("*",OFFSET(N$12,M19,0):N$31,0)+M19)</f>
        <v>#N/A</v>
      </c>
      <c r="N20" s="65">
        <f>IF(COUNTIF(G$12:G19,G20)=0,G20)</f>
        <v>0</v>
      </c>
    </row>
    <row r="21" spans="4:14" ht="12.75">
      <c r="D21" s="13" t="s">
        <v>26</v>
      </c>
      <c r="E21" s="26"/>
      <c r="F21" s="20">
        <f t="shared" si="1"/>
        <v>10</v>
      </c>
      <c r="G21" s="114"/>
      <c r="H21" s="115"/>
      <c r="I21" s="116"/>
      <c r="J21" s="65">
        <f ca="1" t="shared" si="0"/>
      </c>
      <c r="K21" s="65">
        <f>IF(LEN(J21)&gt;0,"/"&amp;LOOKUP(J21,Classes,Classes!B$3:B$18)&amp;LOOKUP(J21,Classes,Classes!C$3:C$18),"")</f>
      </c>
      <c r="L21" s="65">
        <f>IF(LEN(J21)&gt;0,"+"&amp;LOOKUP(J21,Classes,Classes!C$3:C$18)&amp;LOOKUP(J21,Classes,Classes!D$3:D$18),"")</f>
      </c>
      <c r="M21" s="65" t="e">
        <f ca="1">IF(MATCH("*",OFFSET(N$12,M20,0):N$31,0)+M20&gt;20,NA(),MATCH("*",OFFSET(N$12,M20,0):N$31,0)+M20)</f>
        <v>#N/A</v>
      </c>
      <c r="N21" s="65">
        <f>IF(COUNTIF(G$12:G20,G21)=0,G21)</f>
        <v>0</v>
      </c>
    </row>
    <row r="22" spans="1:14" ht="12.75">
      <c r="A22" s="123" t="s">
        <v>394</v>
      </c>
      <c r="B22" s="123"/>
      <c r="C22" s="123"/>
      <c r="D22" s="13" t="s">
        <v>27</v>
      </c>
      <c r="E22" s="26"/>
      <c r="F22" s="20">
        <f t="shared" si="1"/>
        <v>11</v>
      </c>
      <c r="G22" s="114"/>
      <c r="H22" s="115"/>
      <c r="I22" s="116"/>
      <c r="J22" s="65">
        <f ca="1" t="shared" si="0"/>
      </c>
      <c r="K22" s="65">
        <f>IF(LEN(J22)&gt;0,"/"&amp;LOOKUP(J22,Classes,Classes!B$3:B$18)&amp;LOOKUP(J22,Classes,Classes!C$3:C$18),"")</f>
      </c>
      <c r="L22" s="65">
        <f>IF(LEN(J22)&gt;0,"+"&amp;LOOKUP(J22,Classes,Classes!C$3:C$18)&amp;LOOKUP(J22,Classes,Classes!D$3:D$18),"")</f>
      </c>
      <c r="M22" s="65" t="e">
        <f ca="1">IF(MATCH("*",OFFSET(N$12,M21,0):N$31,0)+M21&gt;20,NA(),MATCH("*",OFFSET(N$12,M21,0):N$31,0)+M21)</f>
        <v>#N/A</v>
      </c>
      <c r="N22" s="65">
        <f>IF(COUNTIF(G$12:G21,G22)=0,G22)</f>
        <v>0</v>
      </c>
    </row>
    <row r="23" spans="1:14" ht="12.75">
      <c r="A23" s="40" t="s">
        <v>60</v>
      </c>
      <c r="B23" s="40" t="s">
        <v>61</v>
      </c>
      <c r="C23" s="49" t="s">
        <v>62</v>
      </c>
      <c r="F23" s="20">
        <f t="shared" si="1"/>
        <v>12</v>
      </c>
      <c r="G23" s="114"/>
      <c r="H23" s="115"/>
      <c r="I23" s="116"/>
      <c r="J23" s="65">
        <f ca="1" t="shared" si="0"/>
      </c>
      <c r="K23" s="65">
        <f>IF(LEN(J23)&gt;0,"/"&amp;LOOKUP(J23,Classes,Classes!B$3:B$18)&amp;LOOKUP(J23,Classes,Classes!C$3:C$18),"")</f>
      </c>
      <c r="L23" s="65">
        <f>IF(LEN(J23)&gt;0,"+"&amp;LOOKUP(J23,Classes,Classes!C$3:C$18)&amp;LOOKUP(J23,Classes,Classes!D$3:D$18),"")</f>
      </c>
      <c r="M23" s="65" t="e">
        <f ca="1">IF(MATCH("*",OFFSET(N$12,M22,0):N$31,0)+M22&gt;20,NA(),MATCH("*",OFFSET(N$12,M22,0):N$31,0)+M22)</f>
        <v>#N/A</v>
      </c>
      <c r="N23" s="65">
        <f>IF(COUNTIF(G$12:G22,G23)=0,G23)</f>
        <v>0</v>
      </c>
    </row>
    <row r="24" spans="1:14" ht="12.75">
      <c r="A24" s="40" t="s">
        <v>64</v>
      </c>
      <c r="B24" s="40" t="s">
        <v>66</v>
      </c>
      <c r="C24" s="49" t="s">
        <v>67</v>
      </c>
      <c r="F24" s="20">
        <f t="shared" si="1"/>
        <v>13</v>
      </c>
      <c r="G24" s="114"/>
      <c r="H24" s="115"/>
      <c r="I24" s="116"/>
      <c r="J24" s="65">
        <f ca="1" t="shared" si="0"/>
      </c>
      <c r="K24" s="65">
        <f>IF(LEN(J24)&gt;0,"/"&amp;LOOKUP(J24,Classes,Classes!B$3:B$18)&amp;LOOKUP(J24,Classes,Classes!C$3:C$18),"")</f>
      </c>
      <c r="L24" s="65">
        <f>IF(LEN(J24)&gt;0,"+"&amp;LOOKUP(J24,Classes,Classes!C$3:C$18)&amp;LOOKUP(J24,Classes,Classes!D$3:D$18),"")</f>
      </c>
      <c r="M24" s="65" t="e">
        <f ca="1">IF(MATCH("*",OFFSET(N$12,M23,0):N$31,0)+M23&gt;20,NA(),MATCH("*",OFFSET(N$12,M23,0):N$31,0)+M23)</f>
        <v>#N/A</v>
      </c>
      <c r="N24" s="65">
        <f>IF(COUNTIF(G$12:G23,G24)=0,G24)</f>
        <v>0</v>
      </c>
    </row>
    <row r="25" spans="1:14" ht="12.75">
      <c r="A25" s="40" t="s">
        <v>68</v>
      </c>
      <c r="B25" s="49" t="s">
        <v>69</v>
      </c>
      <c r="C25" s="49" t="s">
        <v>70</v>
      </c>
      <c r="F25" s="20">
        <f t="shared" si="1"/>
        <v>14</v>
      </c>
      <c r="G25" s="114"/>
      <c r="H25" s="115"/>
      <c r="I25" s="116"/>
      <c r="J25" s="65">
        <f ca="1" t="shared" si="0"/>
      </c>
      <c r="K25" s="65">
        <f>IF(LEN(J25)&gt;0,"/"&amp;LOOKUP(J25,Classes,Classes!B$3:B$18)&amp;LOOKUP(J25,Classes,Classes!C$3:C$18),"")</f>
      </c>
      <c r="L25" s="65">
        <f>IF(LEN(J25)&gt;0,"+"&amp;LOOKUP(J25,Classes,Classes!C$3:C$18)&amp;LOOKUP(J25,Classes,Classes!D$3:D$18),"")</f>
      </c>
      <c r="M25" s="65" t="e">
        <f ca="1">IF(MATCH("*",OFFSET(N$12,M24,0):N$31,0)+M24&gt;20,NA(),MATCH("*",OFFSET(N$12,M24,0):N$31,0)+M24)</f>
        <v>#N/A</v>
      </c>
      <c r="N25" s="65">
        <f>IF(COUNTIF(G$12:G24,G25)=0,G25)</f>
        <v>0</v>
      </c>
    </row>
    <row r="26" spans="1:14" ht="12.75">
      <c r="A26" s="40" t="s">
        <v>71</v>
      </c>
      <c r="B26" s="20"/>
      <c r="C26" s="49" t="s">
        <v>73</v>
      </c>
      <c r="F26" s="20">
        <f t="shared" si="1"/>
        <v>15</v>
      </c>
      <c r="G26" s="114"/>
      <c r="H26" s="115"/>
      <c r="I26" s="116"/>
      <c r="J26" s="65">
        <f ca="1" t="shared" si="0"/>
      </c>
      <c r="K26" s="65">
        <f>IF(LEN(J26)&gt;0,"/"&amp;LOOKUP(J26,Classes,Classes!B$3:B$18)&amp;LOOKUP(J26,Classes,Classes!C$3:C$18),"")</f>
      </c>
      <c r="L26" s="65">
        <f>IF(LEN(J26)&gt;0,"+"&amp;LOOKUP(J26,Classes,Classes!C$3:C$18)&amp;LOOKUP(J26,Classes,Classes!D$3:D$18),"")</f>
      </c>
      <c r="M26" s="65" t="e">
        <f ca="1">IF(MATCH("*",OFFSET(N$12,M25,0):N$31,0)+M25&gt;20,NA(),MATCH("*",OFFSET(N$12,M25,0):N$31,0)+M25)</f>
        <v>#N/A</v>
      </c>
      <c r="N26" s="65">
        <f>IF(COUNTIF(G$12:G25,G26)=0,G26)</f>
        <v>0</v>
      </c>
    </row>
    <row r="27" spans="1:14" ht="12.75">
      <c r="A27" s="40" t="s">
        <v>58</v>
      </c>
      <c r="B27" s="40" t="s">
        <v>59</v>
      </c>
      <c r="C27" s="49" t="s">
        <v>63</v>
      </c>
      <c r="F27" s="20">
        <f t="shared" si="1"/>
        <v>16</v>
      </c>
      <c r="G27" s="114"/>
      <c r="H27" s="115"/>
      <c r="I27" s="116"/>
      <c r="J27" s="65">
        <f ca="1" t="shared" si="0"/>
      </c>
      <c r="K27" s="65">
        <f>IF(LEN(J27)&gt;0,"/"&amp;LOOKUP(J27,Classes,Classes!B$3:B$18)&amp;LOOKUP(J27,Classes,Classes!C$3:C$18),"")</f>
      </c>
      <c r="L27" s="65">
        <f>IF(LEN(J27)&gt;0,"+"&amp;LOOKUP(J27,Classes,Classes!C$3:C$18)&amp;LOOKUP(J27,Classes,Classes!D$3:D$18),"")</f>
      </c>
      <c r="M27" s="65" t="e">
        <f ca="1">IF(MATCH("*",OFFSET(N$12,M26,0):N$31,0)+M26&gt;20,NA(),MATCH("*",OFFSET(N$12,M26,0):N$31,0)+M26)</f>
        <v>#N/A</v>
      </c>
      <c r="N27" s="65">
        <f>IF(COUNTIF(G$12:G26,G27)=0,G27)</f>
        <v>0</v>
      </c>
    </row>
    <row r="28" spans="1:14" ht="12.75">
      <c r="A28" s="49" t="s">
        <v>65</v>
      </c>
      <c r="B28" s="20"/>
      <c r="C28" s="40" t="s">
        <v>72</v>
      </c>
      <c r="F28" s="20">
        <f t="shared" si="1"/>
        <v>17</v>
      </c>
      <c r="G28" s="114"/>
      <c r="H28" s="115"/>
      <c r="I28" s="116"/>
      <c r="J28" s="65">
        <f ca="1" t="shared" si="0"/>
      </c>
      <c r="K28" s="65">
        <f>IF(LEN(J28)&gt;0,"/"&amp;LOOKUP(J28,Classes,Classes!B$3:B$18)&amp;LOOKUP(J28,Classes,Classes!C$3:C$18),"")</f>
      </c>
      <c r="L28" s="65">
        <f>IF(LEN(J28)&gt;0,"+"&amp;LOOKUP(J28,Classes,Classes!C$3:C$18)&amp;LOOKUP(J28,Classes,Classes!D$3:D$18),"")</f>
      </c>
      <c r="M28" s="65" t="e">
        <f ca="1">IF(MATCH("*",OFFSET(N$12,M27,0):N$31,0)+M27&gt;20,NA(),MATCH("*",OFFSET(N$12,M27,0):N$31,0)+M27)</f>
        <v>#N/A</v>
      </c>
      <c r="N28" s="65">
        <f>IF(COUNTIF(G$12:G27,G28)=0,G28)</f>
        <v>0</v>
      </c>
    </row>
    <row r="29" spans="6:14" ht="12.75">
      <c r="F29" s="20">
        <f t="shared" si="1"/>
        <v>18</v>
      </c>
      <c r="G29" s="114"/>
      <c r="H29" s="115"/>
      <c r="I29" s="116"/>
      <c r="J29" s="65">
        <f ca="1" t="shared" si="0"/>
      </c>
      <c r="K29" s="65">
        <f>IF(LEN(J29)&gt;0,"/"&amp;LOOKUP(J29,Classes,Classes!B$3:B$18)&amp;LOOKUP(J29,Classes,Classes!C$3:C$18),"")</f>
      </c>
      <c r="L29" s="65">
        <f>IF(LEN(J29)&gt;0,"+"&amp;LOOKUP(J29,Classes,Classes!C$3:C$18)&amp;LOOKUP(J29,Classes,Classes!D$3:D$18),"")</f>
      </c>
      <c r="M29" s="65" t="e">
        <f ca="1">IF(MATCH("*",OFFSET(N$12,M28,0):N$31,0)+M28&gt;20,NA(),MATCH("*",OFFSET(N$12,M28,0):N$31,0)+M28)</f>
        <v>#N/A</v>
      </c>
      <c r="N29" s="65">
        <f>IF(COUNTIF(G$12:G28,G29)=0,G29)</f>
        <v>0</v>
      </c>
    </row>
    <row r="30" spans="6:14" ht="12.75">
      <c r="F30" s="20">
        <f t="shared" si="1"/>
        <v>19</v>
      </c>
      <c r="G30" s="114"/>
      <c r="H30" s="115"/>
      <c r="I30" s="116"/>
      <c r="J30" s="65">
        <f ca="1" t="shared" si="0"/>
      </c>
      <c r="K30" s="65">
        <f>IF(LEN(J30)&gt;0,"/"&amp;LOOKUP(J30,Classes,Classes!B$3:B$18)&amp;LOOKUP(J30,Classes,Classes!C$3:C$18),"")</f>
      </c>
      <c r="L30" s="65">
        <f>IF(LEN(J30)&gt;0,"+"&amp;LOOKUP(J30,Classes,Classes!C$3:C$18)&amp;LOOKUP(J30,Classes,Classes!D$3:D$18),"")</f>
      </c>
      <c r="M30" s="65" t="e">
        <f ca="1">IF(MATCH("*",OFFSET(N$12,M29,0):N$31,0)+M29&gt;20,NA(),MATCH("*",OFFSET(N$12,M29,0):N$31,0)+M29)</f>
        <v>#N/A</v>
      </c>
      <c r="N30" s="65">
        <f>IF(COUNTIF(G$12:G29,G30)=0,G30)</f>
        <v>0</v>
      </c>
    </row>
    <row r="31" spans="6:14" ht="12.75">
      <c r="F31" s="20">
        <f t="shared" si="1"/>
        <v>20</v>
      </c>
      <c r="G31" s="114"/>
      <c r="H31" s="115"/>
      <c r="I31" s="116"/>
      <c r="J31" s="65">
        <f ca="1" t="shared" si="0"/>
      </c>
      <c r="K31" s="65">
        <f>IF(LEN(J31)&gt;0,"/"&amp;LOOKUP(J31,Classes,Classes!B$3:B$18)&amp;LOOKUP(J31,Classes,Classes!C$3:C$18),"")</f>
      </c>
      <c r="L31" s="65">
        <f>IF(LEN(J31)&gt;0,"+"&amp;LOOKUP(J31,Classes,Classes!C$3:C$18)&amp;LOOKUP(J31,Classes,Classes!D$3:D$18),"")</f>
      </c>
      <c r="M31" s="65" t="e">
        <f ca="1">IF(MATCH("*",OFFSET(N$12,M30,0):N$31,0)+M30&gt;20,NA(),MATCH("*",OFFSET(N$12,M30,0):N$31,0)+M30)</f>
        <v>#N/A</v>
      </c>
      <c r="N31" s="65">
        <f>IF(COUNTIF(G$12:G30,G31)=0,G31)</f>
        <v>0</v>
      </c>
    </row>
    <row r="33" spans="1:12" ht="12.75">
      <c r="A33" s="111" t="s">
        <v>33</v>
      </c>
      <c r="B33" s="111"/>
      <c r="C33" s="111"/>
      <c r="D33" s="111"/>
      <c r="E33" s="111"/>
      <c r="F33" s="111"/>
      <c r="G33" s="111"/>
      <c r="H33" s="111"/>
      <c r="I33" s="111"/>
      <c r="J33" s="122" t="s">
        <v>338</v>
      </c>
      <c r="K33" s="122"/>
      <c r="L33" s="122"/>
    </row>
    <row r="34" spans="1:12" ht="12.75">
      <c r="A34" s="45" t="s">
        <v>36</v>
      </c>
      <c r="B34" s="45">
        <f>Classes!C5</f>
        <v>0</v>
      </c>
      <c r="C34" s="45"/>
      <c r="D34" s="45" t="s">
        <v>37</v>
      </c>
      <c r="E34" s="45">
        <f>Classes!C6</f>
        <v>0</v>
      </c>
      <c r="F34" s="45">
        <f>E34</f>
        <v>0</v>
      </c>
      <c r="G34" s="45" t="s">
        <v>38</v>
      </c>
      <c r="H34" s="45">
        <f>Classes!C7</f>
        <v>0</v>
      </c>
      <c r="I34" s="45">
        <f>H34</f>
        <v>0</v>
      </c>
      <c r="J34" s="105">
        <f>IF(OR(B34&gt;1,H65&gt;3),"Uncanny dodge","")</f>
      </c>
      <c r="K34" s="105"/>
      <c r="L34" s="105"/>
    </row>
    <row r="35" spans="1:12" ht="12.75">
      <c r="A35" s="105">
        <f>IF(B34&gt;0,"Rage "&amp;1+TRUNC(B34/4)&amp;" times per day","")</f>
      </c>
      <c r="B35" s="105"/>
      <c r="C35" s="105"/>
      <c r="D35" s="105">
        <f>IF(E34&gt;0,"Bardic Knowledge +"&amp;E34+IntMod+IF(Sheet!W78&gt;4,2,0),"")</f>
      </c>
      <c r="E35" s="105"/>
      <c r="F35" s="1">
        <f>IF(E34&gt;0,TRUNC(MAX(Skills!AO27:AQ27)),"")</f>
      </c>
      <c r="G35" s="1">
        <f>IF(H34&gt;0,"Domain 1:","")</f>
      </c>
      <c r="H35" s="106"/>
      <c r="I35" s="106"/>
      <c r="J35" s="105">
        <f>IF(OR(B34&gt;4,H65&gt;7,AND(H65&gt;3,B34&gt;1)),"Improved uncanny dodge","")</f>
      </c>
      <c r="K35" s="105"/>
      <c r="L35" s="105"/>
    </row>
    <row r="36" spans="1:12" ht="12.75">
      <c r="A36" s="105">
        <f>IF(B34&gt;0,"Duration: "&amp;3+ROUND((B17+C37-10.5)/2,0)&amp;" rounds","")</f>
      </c>
      <c r="B36" s="105"/>
      <c r="C36" s="105"/>
      <c r="D36" s="105">
        <f>IF(E34&gt;0,"Bardic Music "&amp;E34&amp;"/day","")</f>
      </c>
      <c r="E36" s="105"/>
      <c r="F36" s="105"/>
      <c r="G36" s="1">
        <f>IF(H34&gt;0,"Domain 2:","")</f>
      </c>
      <c r="H36" s="106"/>
      <c r="I36" s="106"/>
      <c r="J36" s="105">
        <f>IF(OR(B34&gt;2,H65&gt;2),"Trap sense +"&amp;TRUNC(B34/3)+TRUNC(H65/3),"")</f>
      </c>
      <c r="K36" s="105"/>
      <c r="L36" s="105"/>
    </row>
    <row r="37" spans="1:11" ht="12.75">
      <c r="A37" s="117">
        <f>IF(B34&gt;0,"Str/Con bonus","")</f>
      </c>
      <c r="B37" s="117"/>
      <c r="C37" s="11">
        <f>IF(B34&gt;0,4+IF(B34&gt;10,2+IF(B34&gt;19,2,0)),"")</f>
      </c>
      <c r="D37" s="105">
        <f>IF(AND(E34&gt;0,F35&gt;2)," Countersong","")</f>
      </c>
      <c r="E37" s="105"/>
      <c r="G37" s="105">
        <f>IF(H34&gt;0,IF(OR(Alignment="Lawful Good",Alignment="Neutral Good",Alignment="Chaotic Good"),"Channel Positive Energy",IF(OR(Alignment="Lawful Evil",Alignment="Neutral Evil",Alignment="Chaotic Evil"),"Channel Negative Energy","Channel Which?")),"")</f>
      </c>
      <c r="H37" s="105"/>
      <c r="I37" s="46"/>
      <c r="J37" s="105">
        <f>IF(B47+E65&gt;0,"Wild Empathy +"&amp;ChaMod+B47+E65,"")</f>
      </c>
      <c r="K37" s="105"/>
    </row>
    <row r="38" spans="1:10" ht="12.75">
      <c r="A38" s="13">
        <f>IF(B34&gt;0,"Will bonus","")</f>
      </c>
      <c r="B38" s="1">
        <f>IF(B34&gt;0,2+IF(B34&gt;10,1+IF(B34&gt;19,1,0)),"")</f>
      </c>
      <c r="D38" s="105">
        <f>IF(AND(E34&gt;0,F35&gt;3)," Fascinate "&amp;TRUNC((E34+2)/3)&amp;" creature"&amp;IF(E34&gt;3,"s",""),"")</f>
      </c>
      <c r="E38" s="105"/>
      <c r="G38" s="105">
        <f>IF(H34&gt;0,IF(OR(G37="Channel Negative Energy",AND(G37="Channel Which?",I37="Negative")),"Spontaneously cast inflict",IF(OR(G37="Channel Positive Energy",AND(G37="Channel Which?",I37="Positive")),"Spontaneously cast cure","")),"")</f>
      </c>
      <c r="H38" s="105"/>
      <c r="I38" s="105"/>
      <c r="J38" s="1">
        <f>IF(OR(H47&gt;1,E65&gt;8,H65&gt;1),"Evasion","")</f>
      </c>
    </row>
    <row r="39" spans="1:11" ht="12.75">
      <c r="A39" s="1">
        <f>IF(B34&gt;0,"AC Penalty:","")</f>
      </c>
      <c r="B39" s="1">
        <f>IF(B34&gt;0,-2,"")</f>
      </c>
      <c r="D39" s="105">
        <f>IF(AND(E34&gt;0,F35&gt;2)," Inpsire Courage +"&amp;1+TRUNC((E34-2)/6),"")</f>
      </c>
      <c r="E39" s="105"/>
      <c r="G39" s="105">
        <f>IF(H34&gt;0,IF(ISBLANK(LOOKUP(H35,Domains,Scratch!K2:K23)),"",LOOKUP(H35,Domains,Scratch!K2:K23)),"")</f>
      </c>
      <c r="H39" s="105"/>
      <c r="I39" s="105"/>
      <c r="J39" s="105">
        <f>IF(OR(H47&gt;8),"Improved Evasion","")</f>
      </c>
      <c r="K39" s="105"/>
    </row>
    <row r="40" spans="1:11" ht="12.75">
      <c r="A40" s="105">
        <f>IF(B34&gt;6,"Damage Reduction "&amp;TRUNC((B34-4)/3)&amp;"/-","")</f>
      </c>
      <c r="B40" s="105"/>
      <c r="C40" s="105"/>
      <c r="D40" s="105">
        <f>IF(AND(E34&gt;2,F35&gt;5)," Inspire Competence","")</f>
      </c>
      <c r="E40" s="105"/>
      <c r="G40" s="105">
        <f>IF(H34&gt;0,IF(ISBLANK(LOOKUP(H36,Domains,Scratch!K2:K23)),"",LOOKUP(H36,Domains,Scratch!K2:K23)),"")</f>
      </c>
      <c r="H40" s="105"/>
      <c r="I40" s="105"/>
      <c r="J40" s="105">
        <f>IF(OR(B47&gt;1,E65&gt;6),"Woodland Stride","")</f>
      </c>
      <c r="K40" s="105"/>
    </row>
    <row r="41" spans="1:11" ht="12.75">
      <c r="A41" s="105">
        <f>IF(B34&gt;13,"Indomitable Will","")</f>
      </c>
      <c r="B41" s="105"/>
      <c r="C41" s="105"/>
      <c r="D41" s="105">
        <f>IF(AND(E34&gt;5,F35&gt;8)," Suggestion DC"&amp;10+ChaMod+TRUNC(E34/2),"")</f>
      </c>
      <c r="E41" s="105"/>
      <c r="J41" s="105">
        <f>IF(OR(B47&gt;15,H47&gt;16),"Timeless Body","")</f>
      </c>
      <c r="K41" s="105"/>
    </row>
    <row r="42" spans="4:11" ht="12.75">
      <c r="D42" s="105">
        <f>IF(AND(E34&gt;8,F35&gt;11)," Inspire Greatness in "&amp;TRUNC((E34-6)/3)&amp;" allies","")</f>
      </c>
      <c r="E42" s="105"/>
      <c r="J42" s="105">
        <f>IF(OR(B47&gt;0,E65&gt;3),"Animal Companion","")</f>
      </c>
      <c r="K42" s="105"/>
    </row>
    <row r="43" spans="4:10" ht="12.75">
      <c r="D43" s="105">
        <f>IF(AND(E34&gt;11,F35&gt;14)," Song of freedom","")</f>
      </c>
      <c r="E43" s="105"/>
      <c r="J43" s="1">
        <f>IF(OR(B77&gt;0,H77&gt;0),"Familiar","")</f>
      </c>
    </row>
    <row r="44" spans="4:11" ht="12.75">
      <c r="D44" s="105">
        <f>IF(AND(E34&gt;14,F35&gt;17)," Inspire heroics in "&amp;TRUNC((E34-12)/3)&amp;" allies","")</f>
      </c>
      <c r="E44" s="105"/>
      <c r="J44" s="105">
        <f>IF(OR(B65&gt;3,H34&gt;0),IF(OR(G37="Channel Negative Energy",AND(G37="Channel Which?",I37="Negative")),"Rebuke undead",IF(OR(G37="Channel Positive Energy",AND(G37="Channel Which?",I37="Positive"),B65&gt;3),"Turn undead","")),"")</f>
      </c>
      <c r="K44" s="105"/>
    </row>
    <row r="45" spans="4:11" ht="12.75">
      <c r="D45" s="105">
        <f>IF(AND(E34&gt;17,F35&gt;20)," Mass suggestion","")</f>
      </c>
      <c r="E45" s="105"/>
      <c r="J45" s="105">
        <f>IF(H34&gt;0,3+ChaMod+4*Feats!H82&amp;"/day, +"&amp;H34+MAX(0,B65-3)+IF(Feats!H105&gt;0,1,0)+ChaMod&amp;" to damage","")</f>
      </c>
      <c r="K45" s="105"/>
    </row>
    <row r="47" spans="1:9" ht="12.75">
      <c r="A47" s="45" t="s">
        <v>40</v>
      </c>
      <c r="B47" s="45">
        <f>Classes!C9</f>
        <v>0</v>
      </c>
      <c r="C47" s="45">
        <f>B47</f>
        <v>0</v>
      </c>
      <c r="D47" s="45" t="s">
        <v>42</v>
      </c>
      <c r="E47" s="45">
        <f>Classes!C11</f>
        <v>0</v>
      </c>
      <c r="F47" s="45"/>
      <c r="G47" s="45" t="s">
        <v>43</v>
      </c>
      <c r="H47" s="45">
        <f>Classes!C12</f>
        <v>0</v>
      </c>
      <c r="I47" s="45">
        <f>BAB-2+IF(H47&gt;4,1,0)+IF(H47&gt;8,1,0)</f>
        <v>-2</v>
      </c>
    </row>
    <row r="48" spans="1:9" ht="12.75">
      <c r="A48" s="105">
        <f>IF(B47&gt;2,"Trackless Step","")</f>
      </c>
      <c r="B48" s="105"/>
      <c r="D48" s="105">
        <f>IF(E47&gt;0,1+TRUNC(E47/2)&amp;" fighter bonus feats","")</f>
      </c>
      <c r="E48" s="105"/>
      <c r="F48" s="105"/>
      <c r="G48" s="105">
        <f>IF(H47&gt;0,"Flurry of blows "&amp;I47+StrMod&amp;"/"&amp;I47+StrMod&amp;IF(H47&gt;10,"/"&amp;I47+StrMod,"")&amp;IF(I47&gt;5,"/"&amp;I47-5+StrMod&amp;IF(I47&gt;10,"/"&amp;I47-10+StrMod,""),""),"")</f>
      </c>
      <c r="H48" s="105"/>
      <c r="I48" s="105"/>
    </row>
    <row r="49" spans="1:9" ht="12.75">
      <c r="A49" s="105">
        <f>IF(B47&gt;3,"Resist Nature's Lure","")</f>
      </c>
      <c r="B49" s="105"/>
      <c r="G49" s="1">
        <f>IF(H47&gt;0,"Bonus Feat:","")</f>
      </c>
      <c r="H49" s="106"/>
      <c r="I49" s="106"/>
    </row>
    <row r="50" spans="1:9" ht="12.75">
      <c r="A50" s="105">
        <f>IF(B47&gt;8,"Venom Immunity","")</f>
      </c>
      <c r="B50" s="105"/>
      <c r="G50" s="1">
        <f>IF(H47&gt;1,"Bonus Feat:","")</f>
      </c>
      <c r="H50" s="106"/>
      <c r="I50" s="106"/>
    </row>
    <row r="51" spans="1:9" ht="12.75">
      <c r="A51" s="105">
        <f>IF(B47&gt;12,"A Thousand Faces","")</f>
      </c>
      <c r="B51" s="105"/>
      <c r="G51" s="1">
        <f>IF(H47&gt;5,"Bonus Feat:","")</f>
      </c>
      <c r="H51" s="106"/>
      <c r="I51" s="106"/>
    </row>
    <row r="52" spans="1:7" ht="12.75">
      <c r="A52" s="105">
        <f>IF(B47&gt;4,"Wild Shape "&amp;IF(B47&gt;4,1,0)+IF(B47&gt;5,1,0)+IF(B47&gt;6,1,0)+IF(B47&gt;9,1,0)+IF(B47&gt;13,1,0)+IF(B47&gt;17,1,0)&amp;"/day","")</f>
      </c>
      <c r="B52" s="105"/>
      <c r="G52" s="1">
        <f>IF(H47&gt;2,"Still Mind","")</f>
      </c>
    </row>
    <row r="53" spans="1:9" ht="12.75">
      <c r="A53" s="105">
        <f>IF(B47&gt;7,"  Large","")</f>
      </c>
      <c r="B53" s="105"/>
      <c r="D53" s="7" t="s">
        <v>0</v>
      </c>
      <c r="E53" s="4" t="s">
        <v>1</v>
      </c>
      <c r="G53" s="105">
        <f>IF(H47&gt;3,"Ki strike (magic"&amp;IF(H47&gt;9,", lawful"&amp;IF(H47&gt;15,", adamantine",""),"")&amp;")","")</f>
      </c>
      <c r="H53" s="105"/>
      <c r="I53" s="11"/>
    </row>
    <row r="54" spans="1:8" ht="12.75">
      <c r="A54" s="105">
        <f>IF(B47&gt;10,"  Tiny","")</f>
      </c>
      <c r="B54" s="105"/>
      <c r="D54" s="5" t="s">
        <v>2</v>
      </c>
      <c r="E54" s="6" t="s">
        <v>3</v>
      </c>
      <c r="G54" s="105">
        <f>IF(H47&gt;3,"Slow fall "&amp;IF(H47&gt;19,"any distance",10*TRUNC(H47/2)&amp;" ft."),"")</f>
      </c>
      <c r="H54" s="105"/>
    </row>
    <row r="55" spans="1:8" ht="12.75">
      <c r="A55" s="105">
        <f>IF(B47&gt;11,"  Plant","")</f>
      </c>
      <c r="B55" s="105"/>
      <c r="D55" s="112" t="s">
        <v>4</v>
      </c>
      <c r="E55" s="113"/>
      <c r="G55" s="105">
        <f>IF(H47&gt;4,"Purity of Body","")</f>
      </c>
      <c r="H55" s="105"/>
    </row>
    <row r="56" spans="1:8" ht="12.75">
      <c r="A56" s="105">
        <f>IF(B47&gt;15,"  Huge","")</f>
      </c>
      <c r="B56" s="105"/>
      <c r="G56" s="105">
        <f>IF(H47&gt;6,"Wholeness of body ("&amp;2*H47&amp;"hp)","")</f>
      </c>
      <c r="H56" s="105"/>
    </row>
    <row r="57" spans="1:8" ht="12.75">
      <c r="A57" s="105">
        <f>IF(B47&gt;15,"  Elemental "&amp;TRUNC((B47-14)/2)&amp;"/day","")</f>
      </c>
      <c r="B57" s="105"/>
      <c r="G57" s="105">
        <f>IF(H47&gt;10,"Diamond Body","")</f>
      </c>
      <c r="H57" s="105"/>
    </row>
    <row r="58" spans="1:8" ht="12.75">
      <c r="A58" s="105">
        <f>IF(B47&gt;19,"  Huge elemental","")</f>
      </c>
      <c r="B58" s="105"/>
      <c r="G58" s="105">
        <f>IF(H47&gt;11,"Abundant Step","")</f>
      </c>
      <c r="H58" s="105"/>
    </row>
    <row r="59" spans="1:8" ht="12.75">
      <c r="A59" s="105"/>
      <c r="B59" s="105"/>
      <c r="G59" s="105">
        <f>IF(H47&gt;12,"Diamond Soul (SR "&amp;10+H47&amp;")","")</f>
      </c>
      <c r="H59" s="105"/>
    </row>
    <row r="60" spans="7:8" ht="12.75">
      <c r="G60" s="105">
        <f>IF(H47&gt;14,"Quivering Palm DC"&amp;10+TRUNC(H47/2)+WisMod,"")</f>
      </c>
      <c r="H60" s="105"/>
    </row>
    <row r="61" spans="7:8" ht="12.75">
      <c r="G61" s="105">
        <f>IF(H47&gt;16,"Tongue of the Sun and Moon","")</f>
      </c>
      <c r="H61" s="105"/>
    </row>
    <row r="62" spans="7:8" ht="12.75">
      <c r="G62" s="105">
        <f>IF(H47&gt;18,"Empty Body "&amp;H47&amp;" rounds/day","")</f>
      </c>
      <c r="H62" s="105"/>
    </row>
    <row r="63" spans="7:8" ht="12.75">
      <c r="G63" s="105">
        <f>IF(H47&gt;19,"Perfect Self, DR 10/magic","")</f>
      </c>
      <c r="H63" s="105"/>
    </row>
    <row r="65" spans="1:9" ht="12.75">
      <c r="A65" s="45" t="s">
        <v>44</v>
      </c>
      <c r="B65" s="45">
        <f>Classes!C13</f>
        <v>0</v>
      </c>
      <c r="C65" s="45">
        <f>B65</f>
        <v>0</v>
      </c>
      <c r="D65" s="45" t="s">
        <v>45</v>
      </c>
      <c r="E65" s="45">
        <f>Classes!C14</f>
        <v>0</v>
      </c>
      <c r="F65" s="45">
        <f>E65</f>
        <v>0</v>
      </c>
      <c r="G65" s="45" t="s">
        <v>46</v>
      </c>
      <c r="H65" s="45">
        <f>Classes!C15</f>
        <v>0</v>
      </c>
      <c r="I65" s="45"/>
    </row>
    <row r="66" spans="1:8" ht="12.75">
      <c r="A66" s="1">
        <f>IF(B65&gt;0,"Aura of Good","")</f>
      </c>
      <c r="D66" s="105">
        <f>IF(E65&gt;0,"Favored enem"&amp;IF(E65&gt;4,"ies","y"),"")</f>
      </c>
      <c r="E66" s="105"/>
      <c r="G66" s="105">
        <f>IF(H65&gt;0,"Sneak attack +"&amp;TRUNC((H65+1)/2)&amp;"d6","")</f>
      </c>
      <c r="H66" s="105"/>
    </row>
    <row r="67" spans="1:8" ht="12.75">
      <c r="A67" s="1">
        <f>IF(B65&gt;0,"Detect Evil","")</f>
      </c>
      <c r="D67" s="13">
        <f>IF(E65&gt;0,"1st","")</f>
      </c>
      <c r="E67" s="46"/>
      <c r="F67" s="1">
        <f>IF(E65&gt;4,"bonus:","")</f>
      </c>
      <c r="G67" s="105">
        <f>IF(H65&gt;0,"Trapfinding","")</f>
      </c>
      <c r="H67" s="105"/>
    </row>
    <row r="68" spans="1:9" ht="12.75">
      <c r="A68" s="105">
        <f>IF(B65&gt;0,"Smite evil "&amp;1+TRUNC(B65/5)&amp;"/day, +"&amp;ChaMod&amp;" to attack, +"&amp;B65&amp;" to damage","")</f>
      </c>
      <c r="B68" s="105"/>
      <c r="C68" s="105"/>
      <c r="D68" s="13">
        <f>IF(E65&gt;4,"2nd","")</f>
      </c>
      <c r="E68" s="46"/>
      <c r="F68" s="46"/>
      <c r="G68" s="1">
        <f>IF(H65&gt;9,"Special Ability","")</f>
      </c>
      <c r="H68" s="106"/>
      <c r="I68" s="106"/>
    </row>
    <row r="69" spans="1:9" ht="12.75">
      <c r="A69" s="105">
        <f>IF(AND(B65&gt;0,ChaMod&gt;0),"Lay on hands "&amp;B65*ChaMod&amp;"hp/day","")</f>
      </c>
      <c r="B69" s="105"/>
      <c r="C69" s="11"/>
      <c r="D69" s="13">
        <f>IF(E65&gt;9,"3rd","")</f>
      </c>
      <c r="E69" s="46"/>
      <c r="F69" s="46"/>
      <c r="G69" s="1">
        <f>IF(H65&gt;12,"Special Ability","")</f>
      </c>
      <c r="H69" s="106"/>
      <c r="I69" s="106"/>
    </row>
    <row r="70" spans="1:9" ht="12.75">
      <c r="A70" s="105">
        <f>IF(B65&gt;2,"Aura of Courage","")</f>
      </c>
      <c r="B70" s="105"/>
      <c r="C70" s="11"/>
      <c r="D70" s="13">
        <f>IF(E65&gt;14,"4th","")</f>
      </c>
      <c r="E70" s="46"/>
      <c r="F70" s="46"/>
      <c r="G70" s="1">
        <f>IF(H65&gt;15,"Special Ability","")</f>
      </c>
      <c r="H70" s="106"/>
      <c r="I70" s="106"/>
    </row>
    <row r="71" spans="1:9" ht="12.75">
      <c r="A71" s="105">
        <f>IF(B65&gt;3,"Turn Undead","")</f>
      </c>
      <c r="B71" s="105"/>
      <c r="C71" s="11"/>
      <c r="D71" s="13">
        <f>IF(E65&gt;19,"5th","")</f>
      </c>
      <c r="E71" s="46"/>
      <c r="F71" s="46"/>
      <c r="G71" s="1">
        <f>IF(H65&gt;18,"Special Ability","")</f>
      </c>
      <c r="H71" s="106"/>
      <c r="I71" s="106"/>
    </row>
    <row r="72" spans="1:6" ht="12.75">
      <c r="A72" s="105">
        <f>IF(B65&gt;0,ChaMod&amp;"/day, +"&amp;B65+ChaMod-3&amp;" to damage","")</f>
      </c>
      <c r="B72" s="105"/>
      <c r="D72" s="117">
        <f>IF(E65&gt;1,"Combat Style:","")</f>
      </c>
      <c r="E72" s="117"/>
      <c r="F72" s="46"/>
    </row>
    <row r="73" spans="1:5" ht="12.75">
      <c r="A73" s="1">
        <f>IF(B65&gt;4,"Special Mount","")</f>
      </c>
      <c r="D73" s="105">
        <f>IF(E65&gt;7,"Swift Tracker","")</f>
      </c>
      <c r="E73" s="105"/>
    </row>
    <row r="74" spans="1:5" ht="12.75">
      <c r="A74" s="105">
        <f>IF(B65&gt;5,"Remove Disease "&amp;TRUNC((B65-3)/3)&amp;"/week","")</f>
      </c>
      <c r="B74" s="105"/>
      <c r="D74" s="105">
        <f>IF(E65&gt;12,"Camouflage","")</f>
      </c>
      <c r="E74" s="105"/>
    </row>
    <row r="75" spans="4:5" ht="12.75">
      <c r="D75" s="105">
        <f>IF(E65&gt;16,"Hide in plain sight","")</f>
      </c>
      <c r="E75" s="105"/>
    </row>
    <row r="77" spans="1:9" ht="12.75">
      <c r="A77" s="45" t="s">
        <v>47</v>
      </c>
      <c r="B77" s="45">
        <f>Classes!C16</f>
        <v>0</v>
      </c>
      <c r="C77" s="45">
        <f>B77</f>
        <v>0</v>
      </c>
      <c r="G77" s="45" t="s">
        <v>48</v>
      </c>
      <c r="H77" s="45">
        <f>Classes!C18</f>
        <v>0</v>
      </c>
      <c r="I77" s="45">
        <f>H77</f>
        <v>0</v>
      </c>
    </row>
    <row r="78" spans="7:9" ht="12.75">
      <c r="G78" s="105">
        <f>IF(H77&gt;0,"Specialist School:","")</f>
      </c>
      <c r="H78" s="105"/>
      <c r="I78" s="46"/>
    </row>
    <row r="79" spans="7:9" ht="12.75">
      <c r="G79" s="105">
        <f>IF(ISBLANK(I78),"","Prohibited School:")</f>
      </c>
      <c r="H79" s="105"/>
      <c r="I79" s="46"/>
    </row>
    <row r="80" spans="7:9" ht="12.75">
      <c r="G80" s="105">
        <f>IF(OR(ISBLANK(I78),I78="Divination"),"","Prohibited School:")</f>
      </c>
      <c r="H80" s="105"/>
      <c r="I80" s="46"/>
    </row>
    <row r="82" spans="1:9" ht="12.75">
      <c r="A82" s="45" t="s">
        <v>34</v>
      </c>
      <c r="B82" s="45">
        <f>Classes!C3</f>
        <v>0</v>
      </c>
      <c r="C82" s="45">
        <f>B82</f>
        <v>0</v>
      </c>
      <c r="D82" s="45" t="s">
        <v>35</v>
      </c>
      <c r="E82" s="45">
        <f>Classes!C4</f>
        <v>0</v>
      </c>
      <c r="F82" s="45"/>
      <c r="G82" s="45" t="s">
        <v>39</v>
      </c>
      <c r="H82" s="45">
        <f>Classes!C8</f>
        <v>0</v>
      </c>
      <c r="I82" s="45"/>
    </row>
    <row r="83" spans="7:9" ht="12.75">
      <c r="G83" s="105">
        <f>IF(H82&gt;0,"Simple Weapon:","")</f>
      </c>
      <c r="H83" s="105"/>
      <c r="I83" s="46"/>
    </row>
    <row r="85" spans="1:9" ht="12.75">
      <c r="A85" s="45" t="s">
        <v>41</v>
      </c>
      <c r="B85" s="45">
        <f>Classes!C10</f>
        <v>0</v>
      </c>
      <c r="C85" s="45"/>
      <c r="G85" s="45" t="s">
        <v>49</v>
      </c>
      <c r="H85" s="45">
        <f>Classes!C17</f>
        <v>0</v>
      </c>
      <c r="I85" s="45"/>
    </row>
    <row r="86" spans="1:3" ht="12.75">
      <c r="A86" s="1">
        <f>IF(B$85&gt;0,"Class Skill:","")</f>
      </c>
      <c r="B86" s="103"/>
      <c r="C86" s="103"/>
    </row>
    <row r="87" spans="1:3" ht="12.75">
      <c r="A87" s="1">
        <f aca="true" t="shared" si="2" ref="A87:A95">IF(B$85&gt;0,"Class Skill:","")</f>
      </c>
      <c r="B87" s="103"/>
      <c r="C87" s="103"/>
    </row>
    <row r="88" spans="1:6" ht="12.75">
      <c r="A88" s="1">
        <f t="shared" si="2"/>
      </c>
      <c r="B88" s="103"/>
      <c r="C88" s="103"/>
      <c r="E88" s="7" t="s">
        <v>0</v>
      </c>
      <c r="F88" s="4" t="s">
        <v>1</v>
      </c>
    </row>
    <row r="89" spans="1:6" ht="12.75">
      <c r="A89" s="1">
        <f t="shared" si="2"/>
      </c>
      <c r="B89" s="103"/>
      <c r="C89" s="103"/>
      <c r="E89" s="5" t="s">
        <v>2</v>
      </c>
      <c r="F89" s="6" t="s">
        <v>3</v>
      </c>
    </row>
    <row r="90" spans="1:6" ht="12.75">
      <c r="A90" s="1">
        <f t="shared" si="2"/>
      </c>
      <c r="B90" s="103"/>
      <c r="C90" s="103"/>
      <c r="E90" s="112" t="s">
        <v>4</v>
      </c>
      <c r="F90" s="113"/>
    </row>
    <row r="91" spans="1:3" ht="12.75">
      <c r="A91" s="1">
        <f t="shared" si="2"/>
      </c>
      <c r="B91" s="103"/>
      <c r="C91" s="103"/>
    </row>
    <row r="92" spans="1:3" ht="12.75">
      <c r="A92" s="1">
        <f t="shared" si="2"/>
      </c>
      <c r="B92" s="103"/>
      <c r="C92" s="103"/>
    </row>
    <row r="93" spans="1:3" ht="12.75">
      <c r="A93" s="1">
        <f t="shared" si="2"/>
      </c>
      <c r="B93" s="103"/>
      <c r="C93" s="103"/>
    </row>
    <row r="94" spans="1:3" ht="12.75">
      <c r="A94" s="1">
        <f t="shared" si="2"/>
      </c>
      <c r="B94" s="103"/>
      <c r="C94" s="103"/>
    </row>
    <row r="95" spans="1:3" ht="12.75">
      <c r="A95" s="1">
        <f t="shared" si="2"/>
      </c>
      <c r="B95" s="103"/>
      <c r="C95" s="103"/>
    </row>
    <row r="97" spans="1:9" ht="12.75">
      <c r="A97" s="108" t="s">
        <v>448</v>
      </c>
      <c r="B97" s="108"/>
      <c r="C97" s="108"/>
      <c r="D97" s="108"/>
      <c r="E97" s="108"/>
      <c r="F97" s="108"/>
      <c r="G97" s="108"/>
      <c r="H97" s="108"/>
      <c r="I97" s="108"/>
    </row>
  </sheetData>
  <sheetProtection sheet="1" objects="1" scenarios="1"/>
  <mergeCells count="138">
    <mergeCell ref="A97:I97"/>
    <mergeCell ref="E90:F90"/>
    <mergeCell ref="B92:C92"/>
    <mergeCell ref="B93:C93"/>
    <mergeCell ref="B94:C94"/>
    <mergeCell ref="B95:C95"/>
    <mergeCell ref="B88:C88"/>
    <mergeCell ref="B89:C89"/>
    <mergeCell ref="B90:C90"/>
    <mergeCell ref="B91:C91"/>
    <mergeCell ref="G80:H80"/>
    <mergeCell ref="G83:H83"/>
    <mergeCell ref="B86:C86"/>
    <mergeCell ref="B87:C87"/>
    <mergeCell ref="H70:I70"/>
    <mergeCell ref="H71:I71"/>
    <mergeCell ref="G78:H78"/>
    <mergeCell ref="G79:H79"/>
    <mergeCell ref="J45:K45"/>
    <mergeCell ref="D73:E73"/>
    <mergeCell ref="D74:E74"/>
    <mergeCell ref="D75:E75"/>
    <mergeCell ref="G60:H60"/>
    <mergeCell ref="G61:H61"/>
    <mergeCell ref="G66:H66"/>
    <mergeCell ref="G67:H67"/>
    <mergeCell ref="H68:I68"/>
    <mergeCell ref="H69:I69"/>
    <mergeCell ref="D66:E66"/>
    <mergeCell ref="G63:H63"/>
    <mergeCell ref="G56:H56"/>
    <mergeCell ref="H51:I51"/>
    <mergeCell ref="D72:E72"/>
    <mergeCell ref="J39:K39"/>
    <mergeCell ref="G53:H53"/>
    <mergeCell ref="G54:H54"/>
    <mergeCell ref="G55:H55"/>
    <mergeCell ref="G57:H57"/>
    <mergeCell ref="G58:H58"/>
    <mergeCell ref="G59:H59"/>
    <mergeCell ref="G62:H62"/>
    <mergeCell ref="J40:K40"/>
    <mergeCell ref="A22:C22"/>
    <mergeCell ref="G48:I48"/>
    <mergeCell ref="H49:I49"/>
    <mergeCell ref="H50:I50"/>
    <mergeCell ref="A40:C40"/>
    <mergeCell ref="A41:C41"/>
    <mergeCell ref="A35:C35"/>
    <mergeCell ref="A36:C36"/>
    <mergeCell ref="A37:B37"/>
    <mergeCell ref="G30:I30"/>
    <mergeCell ref="A59:B59"/>
    <mergeCell ref="D48:F48"/>
    <mergeCell ref="D55:E55"/>
    <mergeCell ref="A56:B56"/>
    <mergeCell ref="A57:B57"/>
    <mergeCell ref="A58:B58"/>
    <mergeCell ref="A52:B52"/>
    <mergeCell ref="A53:B53"/>
    <mergeCell ref="A54:B54"/>
    <mergeCell ref="A55:B55"/>
    <mergeCell ref="A48:B48"/>
    <mergeCell ref="A49:B49"/>
    <mergeCell ref="A50:B50"/>
    <mergeCell ref="A51:B51"/>
    <mergeCell ref="J33:L33"/>
    <mergeCell ref="J34:L34"/>
    <mergeCell ref="J35:L35"/>
    <mergeCell ref="J36:L36"/>
    <mergeCell ref="G31:I31"/>
    <mergeCell ref="A33:I33"/>
    <mergeCell ref="G26:I26"/>
    <mergeCell ref="G27:I27"/>
    <mergeCell ref="G28:I28"/>
    <mergeCell ref="G29:I29"/>
    <mergeCell ref="G22:I22"/>
    <mergeCell ref="G23:I23"/>
    <mergeCell ref="G24:I24"/>
    <mergeCell ref="G25:I25"/>
    <mergeCell ref="G18:I18"/>
    <mergeCell ref="G19:I19"/>
    <mergeCell ref="G20:I20"/>
    <mergeCell ref="G21:I21"/>
    <mergeCell ref="G14:I14"/>
    <mergeCell ref="G15:I15"/>
    <mergeCell ref="G16:I16"/>
    <mergeCell ref="G17:I17"/>
    <mergeCell ref="D14:E14"/>
    <mergeCell ref="C8:D8"/>
    <mergeCell ref="C9:D9"/>
    <mergeCell ref="C10:D10"/>
    <mergeCell ref="A8:B8"/>
    <mergeCell ref="A9:B9"/>
    <mergeCell ref="A11:B11"/>
    <mergeCell ref="C12:D12"/>
    <mergeCell ref="C11:D11"/>
    <mergeCell ref="A14:B14"/>
    <mergeCell ref="A5:F5"/>
    <mergeCell ref="A3:B3"/>
    <mergeCell ref="F7:I7"/>
    <mergeCell ref="G12:I12"/>
    <mergeCell ref="A7:D7"/>
    <mergeCell ref="F8:I8"/>
    <mergeCell ref="F9:I9"/>
    <mergeCell ref="F10:I10"/>
    <mergeCell ref="G13:I13"/>
    <mergeCell ref="C1:F1"/>
    <mergeCell ref="C2:I2"/>
    <mergeCell ref="C3:I3"/>
    <mergeCell ref="A4:I4"/>
    <mergeCell ref="J44:K44"/>
    <mergeCell ref="D37:E37"/>
    <mergeCell ref="D35:E35"/>
    <mergeCell ref="D36:F36"/>
    <mergeCell ref="D38:E38"/>
    <mergeCell ref="J37:K37"/>
    <mergeCell ref="J41:K41"/>
    <mergeCell ref="J42:K42"/>
    <mergeCell ref="D40:E40"/>
    <mergeCell ref="G39:I39"/>
    <mergeCell ref="D41:E41"/>
    <mergeCell ref="H35:I35"/>
    <mergeCell ref="H36:I36"/>
    <mergeCell ref="G37:H37"/>
    <mergeCell ref="D39:E39"/>
    <mergeCell ref="G40:I40"/>
    <mergeCell ref="G38:I38"/>
    <mergeCell ref="D44:E44"/>
    <mergeCell ref="D42:E42"/>
    <mergeCell ref="A74:B74"/>
    <mergeCell ref="A69:B69"/>
    <mergeCell ref="A70:B70"/>
    <mergeCell ref="A71:B71"/>
    <mergeCell ref="A72:B72"/>
    <mergeCell ref="D45:E45"/>
    <mergeCell ref="D43:E43"/>
    <mergeCell ref="A68:C68"/>
  </mergeCells>
  <conditionalFormatting sqref="A34:C34 A47:C47 A65:C65 A77:C77 A82:C82 A85:C85">
    <cfRule type="expression" priority="1" dxfId="0" stopIfTrue="1">
      <formula>IF($B34&gt;0,TRUE,FALSE)</formula>
    </cfRule>
  </conditionalFormatting>
  <conditionalFormatting sqref="D34:F34 D47:F47 D65:F65 D82:F82">
    <cfRule type="expression" priority="2" dxfId="0" stopIfTrue="1">
      <formula>IF($E34&gt;0,TRUE,FALSE)</formula>
    </cfRule>
  </conditionalFormatting>
  <conditionalFormatting sqref="G34:I34 G47:I47 G65:I65 G77:I77 G82:I82 G85:I85">
    <cfRule type="expression" priority="3" dxfId="0" stopIfTrue="1">
      <formula>IF($H34&gt;0,TRUE,FALSE)</formula>
    </cfRule>
  </conditionalFormatting>
  <conditionalFormatting sqref="H35:H36">
    <cfRule type="expression" priority="4" dxfId="1" stopIfTrue="1">
      <formula>IF(H$34&gt;0,TRUE,FALSE)</formula>
    </cfRule>
  </conditionalFormatting>
  <conditionalFormatting sqref="I35:I36">
    <cfRule type="expression" priority="5" dxfId="1" stopIfTrue="1">
      <formula>IF(H$34&gt;0,TRUE,FALSE)</formula>
    </cfRule>
  </conditionalFormatting>
  <conditionalFormatting sqref="I37">
    <cfRule type="expression" priority="6" dxfId="1" stopIfTrue="1">
      <formula>IF(G37="Channel Which?",TRUE,FALSE)</formula>
    </cfRule>
  </conditionalFormatting>
  <conditionalFormatting sqref="H49:I51">
    <cfRule type="expression" priority="7" dxfId="1" stopIfTrue="1">
      <formula>IF($G49="Bonus Feat:",TRUE,FALSE)</formula>
    </cfRule>
  </conditionalFormatting>
  <conditionalFormatting sqref="E67">
    <cfRule type="expression" priority="8" dxfId="1" stopIfTrue="1">
      <formula>IF(D67="1st",TRUE,FALSE)</formula>
    </cfRule>
  </conditionalFormatting>
  <conditionalFormatting sqref="E68">
    <cfRule type="expression" priority="9" dxfId="1" stopIfTrue="1">
      <formula>IF(D68="2nd",TRUE,FALSE)</formula>
    </cfRule>
  </conditionalFormatting>
  <conditionalFormatting sqref="E69">
    <cfRule type="expression" priority="10" dxfId="1" stopIfTrue="1">
      <formula>IF(D69="3rd",TRUE,FALSE)</formula>
    </cfRule>
  </conditionalFormatting>
  <conditionalFormatting sqref="E70">
    <cfRule type="expression" priority="11" dxfId="1" stopIfTrue="1">
      <formula>IF(D70="4th",TRUE,FALSE)</formula>
    </cfRule>
  </conditionalFormatting>
  <conditionalFormatting sqref="E71">
    <cfRule type="expression" priority="12" dxfId="1" stopIfTrue="1">
      <formula>IF(D71="5th",TRUE,FALSE)</formula>
    </cfRule>
  </conditionalFormatting>
  <conditionalFormatting sqref="F68">
    <cfRule type="expression" priority="13" dxfId="1" stopIfTrue="1">
      <formula>IF(D68="2nd",TRUE,FALSE)</formula>
    </cfRule>
  </conditionalFormatting>
  <conditionalFormatting sqref="F69">
    <cfRule type="expression" priority="14" dxfId="1" stopIfTrue="1">
      <formula>IF(D69="3rd",TRUE,FALSE)</formula>
    </cfRule>
  </conditionalFormatting>
  <conditionalFormatting sqref="F70">
    <cfRule type="expression" priority="15" dxfId="1" stopIfTrue="1">
      <formula>IF(D70="4th",TRUE,FALSE)</formula>
    </cfRule>
  </conditionalFormatting>
  <conditionalFormatting sqref="F71">
    <cfRule type="expression" priority="16" dxfId="1" stopIfTrue="1">
      <formula>IF(D71="5th",TRUE,FALSE)</formula>
    </cfRule>
  </conditionalFormatting>
  <conditionalFormatting sqref="F72">
    <cfRule type="expression" priority="17" dxfId="1" stopIfTrue="1">
      <formula>IF(D72="Combat Style:",TRUE,FALSE)</formula>
    </cfRule>
  </conditionalFormatting>
  <conditionalFormatting sqref="H68:I71">
    <cfRule type="expression" priority="18" dxfId="1" stopIfTrue="1">
      <formula>IF($G68="Special Ability",TRUE,FALSE)</formula>
    </cfRule>
  </conditionalFormatting>
  <conditionalFormatting sqref="I78">
    <cfRule type="expression" priority="19" dxfId="1" stopIfTrue="1">
      <formula>IF(H77&gt;0,TRUE,FALSE)</formula>
    </cfRule>
  </conditionalFormatting>
  <conditionalFormatting sqref="I79:I80">
    <cfRule type="expression" priority="20" dxfId="1" stopIfTrue="1">
      <formula>IF(G79="Prohibited School:",TRUE,FALSE)</formula>
    </cfRule>
  </conditionalFormatting>
  <conditionalFormatting sqref="I83">
    <cfRule type="expression" priority="21" dxfId="1" stopIfTrue="1">
      <formula>IF(G83="Simple Weapon:",TRUE,FALSE)</formula>
    </cfRule>
  </conditionalFormatting>
  <conditionalFormatting sqref="B86:C95">
    <cfRule type="expression" priority="22" dxfId="1" stopIfTrue="1">
      <formula>IF($A86="Class Skill:",TRUE,FALSE)</formula>
    </cfRule>
  </conditionalFormatting>
  <dataValidations count="19">
    <dataValidation type="list" allowBlank="1" showInputMessage="1" showErrorMessage="1" sqref="C10:D10">
      <formula1>Races</formula1>
    </dataValidation>
    <dataValidation type="list" allowBlank="1" showInputMessage="1" showErrorMessage="1" sqref="G12:I31">
      <formula1>EligibleClasses</formula1>
    </dataValidation>
    <dataValidation type="list" allowBlank="1" showInputMessage="1" showErrorMessage="1" sqref="C11:D11">
      <formula1>"Lawful Good, Neutral Good, Chaotic Good, Lawful Neutral, Neutral, Chaotic Neutral, Lawful Evil, Neutral Evil, Chaotic Evil"</formula1>
    </dataValidation>
    <dataValidation type="list" allowBlank="1" showInputMessage="1" showErrorMessage="1" sqref="E17">
      <formula1>"Male,Female,Other"</formula1>
    </dataValidation>
    <dataValidation type="list" allowBlank="1" showInputMessage="1" showErrorMessage="1" sqref="H35:I36">
      <formula1>Domains</formula1>
    </dataValidation>
    <dataValidation type="list" allowBlank="1" showInputMessage="1" showErrorMessage="1" sqref="I37">
      <formula1>"Positive, Negative"</formula1>
    </dataValidation>
    <dataValidation type="list" allowBlank="1" showInputMessage="1" showErrorMessage="1" sqref="H49:I49">
      <formula1>"Improved Grapple, Stunning Fist"</formula1>
    </dataValidation>
    <dataValidation type="list" allowBlank="1" showInputMessage="1" showErrorMessage="1" sqref="H50:I50">
      <formula1>"Combat Reflexes, Deflect Arrows"</formula1>
    </dataValidation>
    <dataValidation type="list" allowBlank="1" showInputMessage="1" showErrorMessage="1" sqref="H51:I51">
      <formula1>"Improved Disarm, Improved Trip"</formula1>
    </dataValidation>
    <dataValidation type="list" allowBlank="1" showInputMessage="1" showErrorMessage="1" sqref="E67:E71">
      <formula1>RFEs</formula1>
    </dataValidation>
    <dataValidation type="list" allowBlank="1" showInputMessage="1" showErrorMessage="1" sqref="F68">
      <formula1>$E$67:$E$68</formula1>
    </dataValidation>
    <dataValidation type="list" allowBlank="1" showInputMessage="1" showErrorMessage="1" sqref="F69">
      <formula1>$E$67:$E$69</formula1>
    </dataValidation>
    <dataValidation type="list" allowBlank="1" showInputMessage="1" showErrorMessage="1" sqref="F70">
      <formula1>$E$67:$E$70</formula1>
    </dataValidation>
    <dataValidation type="list" allowBlank="1" showInputMessage="1" showErrorMessage="1" sqref="F71">
      <formula1>$E$67:$E$71</formula1>
    </dataValidation>
    <dataValidation type="list" allowBlank="1" showInputMessage="1" showErrorMessage="1" sqref="F72">
      <formula1>"Archery, Two-Weapon Combat"</formula1>
    </dataValidation>
    <dataValidation type="list" allowBlank="1" showInputMessage="1" showErrorMessage="1" sqref="H68:I71">
      <formula1>"Crippling Strike, Defensive Roll, Improved Evasion, Opportunist, Skill Mastery, Slippery Mind, Feat"</formula1>
    </dataValidation>
    <dataValidation type="list" allowBlank="1" showInputMessage="1" showErrorMessage="1" sqref="I78:I80">
      <formula1>Magics</formula1>
    </dataValidation>
    <dataValidation type="list" allowBlank="1" showInputMessage="1" showErrorMessage="1" sqref="B86:C95">
      <formula1>Skills</formula1>
    </dataValidation>
    <dataValidation type="list" allowBlank="1" showInputMessage="1" showErrorMessage="1" sqref="I83">
      <formula1>SimpleWs</formula1>
    </dataValidation>
  </dataValidations>
  <hyperlinks>
    <hyperlink ref="B1" location="Skills!A1" display="Skills"/>
    <hyperlink ref="A2" location="Feats!A1" display="Feats"/>
    <hyperlink ref="B2" location="Gear!A1" display="Gear"/>
    <hyperlink ref="A3:B3" location="Sheet!A1" display="View the Sheet"/>
    <hyperlink ref="E53" location="Skills!A1" display="Skills"/>
    <hyperlink ref="D54" location="Feats!A1" display="Feats"/>
    <hyperlink ref="E54" location="Gear!A1" display="Gear"/>
    <hyperlink ref="D55:E55" location="Sheet!A1" display="View the Sheet"/>
    <hyperlink ref="A23" location="Begin!A34" display="Bbn"/>
    <hyperlink ref="B23" location="Begin!D34" display="Brd"/>
    <hyperlink ref="C23" location="Begin!G34" display="Clr"/>
    <hyperlink ref="A24" location="Begin!A47" display="Drd"/>
    <hyperlink ref="B24" location="Begin!D47" display="Ftr"/>
    <hyperlink ref="C24" location="Begin!G47" display="Mnk"/>
    <hyperlink ref="A25" location="Begin!A66" display="Pal"/>
    <hyperlink ref="B25" location="Begin!D66" display="Rgr"/>
    <hyperlink ref="C25" location="Begin!G66" display="Rog"/>
    <hyperlink ref="D53" location="Begin!A1" display="Begin"/>
    <hyperlink ref="A26" location="Begin!A77" display="Sor"/>
    <hyperlink ref="C26" location="Begin!G77" display="Wiz"/>
    <hyperlink ref="F88" location="Skills!A1" display="Skills"/>
    <hyperlink ref="E89" location="Feats!A1" display="Feats"/>
    <hyperlink ref="F89" location="Gear!A1" display="Gear"/>
    <hyperlink ref="E90:F90" location="Sheet!A1" display="View the Sheet"/>
    <hyperlink ref="E88" location="Begin!A1" display="Begin"/>
    <hyperlink ref="A27" location="Begin!A82" display="Adp"/>
    <hyperlink ref="B27" location="Begin!D82" display="Ari"/>
    <hyperlink ref="C27" location="Begin!G82" display="Com"/>
    <hyperlink ref="A28" location="Begin!A85" display="Exp"/>
    <hyperlink ref="C28" location="Begin!G85" display="War"/>
  </hyperlinks>
  <printOptions/>
  <pageMargins left="0.75" right="0.75" top="1" bottom="1" header="0.5" footer="0.5"/>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R226"/>
  <sheetViews>
    <sheetView workbookViewId="0" topLeftCell="A1">
      <selection activeCell="A1" sqref="A1"/>
    </sheetView>
  </sheetViews>
  <sheetFormatPr defaultColWidth="9.140625" defaultRowHeight="12.75"/>
  <sheetData>
    <row r="1" spans="1:18" ht="12.75">
      <c r="A1" s="51" t="s">
        <v>454</v>
      </c>
      <c r="E1" s="51" t="s">
        <v>633</v>
      </c>
      <c r="J1" s="51" t="s">
        <v>354</v>
      </c>
      <c r="L1">
        <f>Classes!C7</f>
        <v>0</v>
      </c>
      <c r="O1" s="51" t="s">
        <v>408</v>
      </c>
      <c r="R1" s="51" t="s">
        <v>439</v>
      </c>
    </row>
    <row r="2" spans="1:18" ht="12.75">
      <c r="A2" t="b">
        <f>IF(LEN(Begin!J34)&gt;0,Begin!J34)</f>
        <v>0</v>
      </c>
      <c r="B2" t="e">
        <f>MATCH("*",A2:A82,0)</f>
        <v>#N/A</v>
      </c>
      <c r="C2" t="e">
        <f ca="1">IF(ISBLANK(OFFSET(A$1,B2,0)),"",OFFSET(A$1,B2,0))</f>
        <v>#N/A</v>
      </c>
      <c r="E2" t="b">
        <f>IF(Feats!H49&gt;0,Feats!A49)</f>
        <v>0</v>
      </c>
      <c r="F2" t="e">
        <f>MATCH("*",E2:E214,0)</f>
        <v>#N/A</v>
      </c>
      <c r="G2">
        <f ca="1">IF(OR(ISNA(F2),ISBLANK(OFFSET(E$1,F2,0))),"",OFFSET(E$1,F2,0))</f>
      </c>
      <c r="J2" t="s">
        <v>355</v>
      </c>
      <c r="K2" t="str">
        <f>"Turn earth/rebuke air "&amp;ChaMod+3&amp;"/day"</f>
        <v>Turn earth/rebuke air -2/day</v>
      </c>
      <c r="O2" t="s">
        <v>409</v>
      </c>
      <c r="R2" t="s">
        <v>440</v>
      </c>
    </row>
    <row r="3" spans="1:18" ht="12.75">
      <c r="A3" t="b">
        <f>IF(LEN(Begin!J35)&gt;0,Begin!J35)</f>
        <v>0</v>
      </c>
      <c r="B3" t="e">
        <f ca="1">MATCH("*",OFFSET(A$2,B2,0):A$82,0)+B2</f>
        <v>#N/A</v>
      </c>
      <c r="C3" t="e">
        <f aca="true" ca="1" t="shared" si="0" ref="C3:C33">IF(ISBLANK(OFFSET(A$1,B3,0)),"",OFFSET(A$1,B3,0))</f>
        <v>#N/A</v>
      </c>
      <c r="E3" t="b">
        <f>IF(Feats!H50&gt;0,Feats!A50)</f>
        <v>0</v>
      </c>
      <c r="F3" t="e">
        <f ca="1">MATCH("*",OFFSET(E$2,F2,0):E$226,0)+F2</f>
        <v>#N/A</v>
      </c>
      <c r="G3">
        <f aca="true" ca="1" t="shared" si="1" ref="G3:G26">IF(OR(ISNA(F3),ISBLANK(OFFSET(E$1,F3,0))),"",OFFSET(E$1,F3,0))</f>
      </c>
      <c r="J3" t="s">
        <v>356</v>
      </c>
      <c r="K3" t="s">
        <v>357</v>
      </c>
      <c r="O3" t="s">
        <v>356</v>
      </c>
      <c r="R3" t="s">
        <v>441</v>
      </c>
    </row>
    <row r="4" spans="1:18" ht="12.75">
      <c r="A4" t="b">
        <f>IF(LEN(Begin!J36)&gt;0,Begin!J36)</f>
        <v>0</v>
      </c>
      <c r="B4" t="e">
        <f ca="1">MATCH("*",OFFSET(A$2,B3,0):A$82,0)+B3</f>
        <v>#N/A</v>
      </c>
      <c r="C4" t="e">
        <f ca="1" t="shared" si="0"/>
        <v>#N/A</v>
      </c>
      <c r="E4" t="b">
        <f>IF(Feats!H51&gt;0,Feats!A51)</f>
        <v>0</v>
      </c>
      <c r="F4" t="e">
        <f ca="1">MATCH("*",OFFSET(E$2,F3,0):E$226,0)+F3</f>
        <v>#N/A</v>
      </c>
      <c r="G4">
        <f ca="1" t="shared" si="1"/>
      </c>
      <c r="J4" t="s">
        <v>358</v>
      </c>
      <c r="K4" t="str">
        <f>"Cast chaos spells at caster level "&amp;L1+1</f>
        <v>Cast chaos spells at caster level 1</v>
      </c>
      <c r="O4" t="s">
        <v>410</v>
      </c>
      <c r="R4" t="s">
        <v>442</v>
      </c>
    </row>
    <row r="5" spans="1:18" ht="12.75">
      <c r="A5" t="b">
        <f>IF(LEN(Begin!J37)&gt;0,Begin!J37)</f>
        <v>0</v>
      </c>
      <c r="B5" t="e">
        <f ca="1">MATCH("*",OFFSET(A$2,B4,0):A$82,0)+B4</f>
        <v>#N/A</v>
      </c>
      <c r="C5" t="e">
        <f ca="1" t="shared" si="0"/>
        <v>#N/A</v>
      </c>
      <c r="E5" t="b">
        <f>IF(Feats!H52&gt;0,Feats!A52)</f>
        <v>0</v>
      </c>
      <c r="F5" t="e">
        <f ca="1">MATCH("*",OFFSET(E$2,F4,0):E$226,0)+F4</f>
        <v>#N/A</v>
      </c>
      <c r="G5">
        <f ca="1" t="shared" si="1"/>
      </c>
      <c r="J5" t="s">
        <v>359</v>
      </c>
      <c r="K5" t="str">
        <f>"Death touch 1/day, "&amp;L1&amp;"d6"</f>
        <v>Death touch 1/day, 0d6</v>
      </c>
      <c r="O5" t="s">
        <v>411</v>
      </c>
      <c r="R5" t="s">
        <v>443</v>
      </c>
    </row>
    <row r="6" spans="1:18" ht="12.75">
      <c r="A6" t="b">
        <f>IF(LEN(Begin!J38)&gt;0,Begin!J38)</f>
        <v>0</v>
      </c>
      <c r="B6" t="e">
        <f ca="1">MATCH("*",OFFSET(A$2,B5,0):A$82,0)+B5</f>
        <v>#N/A</v>
      </c>
      <c r="C6" t="e">
        <f ca="1" t="shared" si="0"/>
        <v>#N/A</v>
      </c>
      <c r="E6" t="b">
        <f>IF(Feats!H53&gt;0,Feats!A53)</f>
        <v>0</v>
      </c>
      <c r="F6" t="e">
        <f ca="1">MATCH("*",OFFSET(E$2,F5,0):E$226,0)+F5</f>
        <v>#N/A</v>
      </c>
      <c r="G6">
        <f ca="1" t="shared" si="1"/>
      </c>
      <c r="J6" t="s">
        <v>360</v>
      </c>
      <c r="K6" t="str">
        <f>"Smite 1/day, +4 to attack, +"&amp;L1&amp;" to damage"</f>
        <v>Smite 1/day, +4 to attack, +0 to damage</v>
      </c>
      <c r="O6" t="s">
        <v>412</v>
      </c>
      <c r="R6" t="s">
        <v>444</v>
      </c>
    </row>
    <row r="7" spans="1:18" ht="12.75">
      <c r="A7" t="b">
        <f>IF(LEN(Begin!J39)&gt;0,Begin!J39)</f>
        <v>0</v>
      </c>
      <c r="B7" t="e">
        <f ca="1">MATCH("*",OFFSET(A$2,B6,0):A$82,0)+B6</f>
        <v>#N/A</v>
      </c>
      <c r="C7" t="e">
        <f ca="1" t="shared" si="0"/>
        <v>#N/A</v>
      </c>
      <c r="E7" t="b">
        <f>IF(Feats!H54&gt;0,Feats!A54)</f>
        <v>0</v>
      </c>
      <c r="F7" t="e">
        <f ca="1">MATCH("*",OFFSET(E$2,F6,0):E$226,0)+F6</f>
        <v>#N/A</v>
      </c>
      <c r="G7">
        <f ca="1" t="shared" si="1"/>
      </c>
      <c r="J7" t="s">
        <v>361</v>
      </c>
      <c r="K7" t="str">
        <f>"Turn air/rebuke earth "&amp;ChaMod+3&amp;"/day"</f>
        <v>Turn air/rebuke earth -2/day</v>
      </c>
      <c r="O7" t="s">
        <v>413</v>
      </c>
      <c r="R7" t="s">
        <v>445</v>
      </c>
    </row>
    <row r="8" spans="1:18" ht="12.75">
      <c r="A8" t="b">
        <f>IF(LEN(Begin!J40)&gt;0,Begin!J40)</f>
        <v>0</v>
      </c>
      <c r="B8" t="e">
        <f ca="1">MATCH("*",OFFSET(A$2,B7,0):A$82,0)+B7</f>
        <v>#N/A</v>
      </c>
      <c r="C8" t="e">
        <f ca="1" t="shared" si="0"/>
        <v>#N/A</v>
      </c>
      <c r="E8" t="b">
        <f>IF(Feats!H55&gt;0,Feats!A55)</f>
        <v>0</v>
      </c>
      <c r="F8" t="e">
        <f ca="1">MATCH("*",OFFSET(E$2,F7,0):E$226,0)+F7</f>
        <v>#N/A</v>
      </c>
      <c r="G8">
        <f ca="1" t="shared" si="1"/>
      </c>
      <c r="J8" t="s">
        <v>362</v>
      </c>
      <c r="K8" t="str">
        <f>"Cast evil spells at caster level "&amp;L1+1</f>
        <v>Cast evil spells at caster level 1</v>
      </c>
      <c r="O8" t="s">
        <v>414</v>
      </c>
      <c r="R8" t="s">
        <v>446</v>
      </c>
    </row>
    <row r="9" spans="1:18" ht="12.75">
      <c r="A9" t="b">
        <f>IF(LEN(Begin!J41)&gt;0,Begin!J41)</f>
        <v>0</v>
      </c>
      <c r="B9" t="e">
        <f ca="1">MATCH("*",OFFSET(A$2,B8,0):A$82,0)+B8</f>
        <v>#N/A</v>
      </c>
      <c r="C9" t="e">
        <f ca="1" t="shared" si="0"/>
        <v>#N/A</v>
      </c>
      <c r="E9" t="b">
        <f>IF(Feats!H56&gt;0,Feats!A56)</f>
        <v>0</v>
      </c>
      <c r="F9" t="e">
        <f ca="1">MATCH("*",OFFSET(E$2,F8,0):E$226,0)+F8</f>
        <v>#N/A</v>
      </c>
      <c r="G9">
        <f ca="1" t="shared" si="1"/>
      </c>
      <c r="J9" t="s">
        <v>363</v>
      </c>
      <c r="K9" t="str">
        <f>"Turn water/rebuke fire "&amp;ChaMod+3&amp;"/day"</f>
        <v>Turn water/rebuke fire -2/day</v>
      </c>
      <c r="O9" t="s">
        <v>415</v>
      </c>
      <c r="R9" t="s">
        <v>447</v>
      </c>
    </row>
    <row r="10" spans="1:15" ht="12.75">
      <c r="A10" t="b">
        <f>IF(LEN(Begin!J42)&gt;0,Begin!J42)</f>
        <v>0</v>
      </c>
      <c r="B10" t="e">
        <f ca="1">MATCH("*",OFFSET(A$2,B9,0):A$82,0)+B9</f>
        <v>#N/A</v>
      </c>
      <c r="C10" t="e">
        <f ca="1" t="shared" si="0"/>
        <v>#N/A</v>
      </c>
      <c r="E10" t="b">
        <f>IF(Feats!H57&gt;0,Feats!A57)</f>
        <v>0</v>
      </c>
      <c r="F10" t="e">
        <f ca="1">MATCH("*",OFFSET(E$2,F9,0):E$226,0)+F9</f>
        <v>#N/A</v>
      </c>
      <c r="G10">
        <f ca="1" t="shared" si="1"/>
      </c>
      <c r="J10" t="s">
        <v>364</v>
      </c>
      <c r="K10" t="str">
        <f>"Cast good spells at caster level "&amp;L$1+1</f>
        <v>Cast good spells at caster level 1</v>
      </c>
      <c r="O10" t="s">
        <v>416</v>
      </c>
    </row>
    <row r="11" spans="1:18" ht="12.75">
      <c r="A11" t="b">
        <f>IF(LEN(Begin!J43)&gt;0,Begin!J43)</f>
        <v>0</v>
      </c>
      <c r="B11" t="e">
        <f ca="1">MATCH("*",OFFSET(A$2,B10,0):A$82,0)+B10</f>
        <v>#N/A</v>
      </c>
      <c r="C11" t="e">
        <f ca="1" t="shared" si="0"/>
        <v>#N/A</v>
      </c>
      <c r="E11" t="b">
        <f>IF(Feats!H58&gt;0,Feats!A58)</f>
        <v>0</v>
      </c>
      <c r="F11" t="e">
        <f ca="1">MATCH("*",OFFSET(E$2,F10,0):E$226,0)+F10</f>
        <v>#N/A</v>
      </c>
      <c r="G11">
        <f ca="1" t="shared" si="1"/>
      </c>
      <c r="J11" t="s">
        <v>365</v>
      </c>
      <c r="K11" t="str">
        <f>"Cast healing spells at caster level "&amp;L$1+1</f>
        <v>Cast healing spells at caster level 1</v>
      </c>
      <c r="O11" t="s">
        <v>417</v>
      </c>
      <c r="R11" s="51" t="s">
        <v>894</v>
      </c>
    </row>
    <row r="12" spans="1:18" ht="12.75">
      <c r="A12" t="b">
        <f>IF(LEN(Begin!J44)&gt;0,Begin!J44&amp;":")</f>
        <v>0</v>
      </c>
      <c r="B12" t="e">
        <f ca="1">MATCH("*",OFFSET(A$2,B11,0):A$82,0)+B11</f>
        <v>#N/A</v>
      </c>
      <c r="C12" t="e">
        <f ca="1" t="shared" si="0"/>
        <v>#N/A</v>
      </c>
      <c r="E12" t="b">
        <f>IF(Feats!H59&gt;0,Feats!A59)</f>
        <v>0</v>
      </c>
      <c r="F12" t="e">
        <f ca="1">MATCH("*",OFFSET(E$2,F11,0):E$226,0)+F11</f>
        <v>#N/A</v>
      </c>
      <c r="G12">
        <f ca="1" t="shared" si="1"/>
      </c>
      <c r="J12" t="s">
        <v>172</v>
      </c>
      <c r="K12" t="str">
        <f>"Cast divination spells at caster level "&amp;L$1+1</f>
        <v>Cast divination spells at caster level 1</v>
      </c>
      <c r="O12" t="s">
        <v>418</v>
      </c>
      <c r="R12">
        <f>IF(Feats!D2="Spell Mastery",IF(ISBLANK(Skills!C6),IntMod,ROUND((Skills!C6-10.5)/2,0)),0)</f>
        <v>0</v>
      </c>
    </row>
    <row r="13" spans="1:18" ht="12.75">
      <c r="A13" t="b">
        <f>IF(LEN(Begin!J45)&gt;0," "&amp;Begin!J45)</f>
        <v>0</v>
      </c>
      <c r="B13" t="e">
        <f ca="1">MATCH("*",OFFSET(A$2,B12,0):A$82,0)+B12</f>
        <v>#N/A</v>
      </c>
      <c r="C13" t="e">
        <f ca="1" t="shared" si="0"/>
        <v>#N/A</v>
      </c>
      <c r="E13" t="b">
        <f>IF(Feats!H60&gt;0,Feats!A60)</f>
        <v>0</v>
      </c>
      <c r="F13" t="e">
        <f ca="1">MATCH("*",OFFSET(E$2,F12,0):E$226,0)+F12</f>
        <v>#N/A</v>
      </c>
      <c r="G13">
        <f ca="1" t="shared" si="1"/>
      </c>
      <c r="J13" t="s">
        <v>366</v>
      </c>
      <c r="K13" t="str">
        <f>"Cast law spells at caster level "&amp;L$1+1</f>
        <v>Cast law spells at caster level 1</v>
      </c>
      <c r="O13" t="s">
        <v>419</v>
      </c>
      <c r="R13">
        <f>IF(Feats!B6="Spell Mastery",IF(ISBLANK(Skills!C6),IntMod,ROUND((Skills!C6-10.5)/2,0)),0)</f>
        <v>0</v>
      </c>
    </row>
    <row r="14" spans="1:18" ht="12.75">
      <c r="A14" t="b">
        <f>IF(LEN(Begin!A35)&gt;0,Begin!A35)</f>
        <v>0</v>
      </c>
      <c r="B14" t="e">
        <f ca="1">MATCH("*",OFFSET(A$2,B13,0):A$82,0)+B13</f>
        <v>#N/A</v>
      </c>
      <c r="C14" t="e">
        <f ca="1" t="shared" si="0"/>
        <v>#N/A</v>
      </c>
      <c r="E14" t="b">
        <f>IF(Feats!H61&gt;0,Feats!A61)</f>
        <v>0</v>
      </c>
      <c r="F14" t="e">
        <f ca="1">MATCH("*",OFFSET(E$2,F13,0):E$226,0)+F13</f>
        <v>#N/A</v>
      </c>
      <c r="G14">
        <f ca="1" t="shared" si="1"/>
      </c>
      <c r="J14" t="s">
        <v>367</v>
      </c>
      <c r="K14" t="s">
        <v>368</v>
      </c>
      <c r="O14" t="s">
        <v>420</v>
      </c>
      <c r="R14">
        <f>IF(Feats!B7="Spell Mastery",IF(ISBLANK(Skills!C8),IntMod,ROUND((Skills!C8-10.5)/2,0)),0)</f>
        <v>0</v>
      </c>
    </row>
    <row r="15" spans="1:18" ht="12.75">
      <c r="A15" t="b">
        <f>IF(LEN(Begin!A36)&gt;0,Begin!A36)</f>
        <v>0</v>
      </c>
      <c r="B15" t="e">
        <f ca="1">MATCH("*",OFFSET(A$2,B14,0):A$82,0)+B14</f>
        <v>#N/A</v>
      </c>
      <c r="C15" t="e">
        <f ca="1" t="shared" si="0"/>
        <v>#N/A</v>
      </c>
      <c r="E15" t="b">
        <f>IF(Feats!H62&gt;0,Feats!A62)</f>
        <v>0</v>
      </c>
      <c r="F15" t="e">
        <f ca="1">MATCH("*",OFFSET(E$2,F14,0):E$226,0)+F14</f>
        <v>#N/A</v>
      </c>
      <c r="G15">
        <f ca="1" t="shared" si="1"/>
      </c>
      <c r="J15" t="s">
        <v>369</v>
      </c>
      <c r="K15" t="str">
        <f>"Use magic devices as a Wiz"&amp;TRUNC(L1/2)+Classes!C18</f>
        <v>Use magic devices as a Wiz0</v>
      </c>
      <c r="O15" t="s">
        <v>421</v>
      </c>
      <c r="R15">
        <f>IF(Feats!B8="Spell Mastery",IF(ISBLANK(Skills!C11),IntMod,ROUND((Skills!C11-10.5)/2,0)),0)</f>
        <v>0</v>
      </c>
    </row>
    <row r="16" spans="1:18" ht="12.75">
      <c r="A16" t="b">
        <f>IF(LEN(Begin!A40)&gt;0,Begin!A40)</f>
        <v>0</v>
      </c>
      <c r="B16" t="e">
        <f ca="1">MATCH("*",OFFSET(A$2,B15,0):A$82,0)+B15</f>
        <v>#N/A</v>
      </c>
      <c r="C16" t="e">
        <f ca="1" t="shared" si="0"/>
        <v>#N/A</v>
      </c>
      <c r="E16" t="b">
        <f>IF(Feats!H63&gt;0,Feats!A63)</f>
        <v>0</v>
      </c>
      <c r="F16" t="e">
        <f ca="1">MATCH("*",OFFSET(E$2,F15,0):E$226,0)+F15</f>
        <v>#N/A</v>
      </c>
      <c r="G16">
        <f ca="1" t="shared" si="1"/>
      </c>
      <c r="J16" t="s">
        <v>370</v>
      </c>
      <c r="K16" t="str">
        <f>"Rebuke plants "&amp;ChaMod+3&amp;"/day"</f>
        <v>Rebuke plants -2/day</v>
      </c>
      <c r="O16" t="s">
        <v>422</v>
      </c>
      <c r="R16">
        <f>IF(Feats!B9="Spell Mastery",IF(ISBLANK(Skills!C14),IntMod,ROUND((Skills!C14-10.5)/2,0)),0)</f>
        <v>0</v>
      </c>
    </row>
    <row r="17" spans="1:18" ht="12.75">
      <c r="A17" t="b">
        <f>IF(LEN(Begin!A41)&gt;0,Begin!A41)</f>
        <v>0</v>
      </c>
      <c r="B17" t="e">
        <f ca="1">MATCH("*",OFFSET(A$2,B16,0):A$82,0)+B16</f>
        <v>#N/A</v>
      </c>
      <c r="C17" t="e">
        <f ca="1" t="shared" si="0"/>
        <v>#N/A</v>
      </c>
      <c r="E17" t="b">
        <f>IF(Feats!H64&gt;0,Feats!A64)</f>
        <v>0</v>
      </c>
      <c r="F17" t="e">
        <f ca="1">MATCH("*",OFFSET(E$2,F16,0):E$226,0)+F16</f>
        <v>#N/A</v>
      </c>
      <c r="G17">
        <f ca="1" t="shared" si="1"/>
      </c>
      <c r="J17" t="s">
        <v>371</v>
      </c>
      <c r="K17" t="str">
        <f>"Protective ward +"&amp;L1</f>
        <v>Protective ward +0</v>
      </c>
      <c r="O17" t="s">
        <v>423</v>
      </c>
      <c r="R17">
        <f>IF(Feats!B10="Spell Mastery",IF(ISBLANK(Skills!C17),IntMod,ROUND((Skills!C17-10.5)/2,0)),0)</f>
        <v>0</v>
      </c>
    </row>
    <row r="18" spans="1:18" ht="12.75">
      <c r="A18" t="b">
        <f>IF(LEN(Begin!D35)&gt;0,Begin!D35)</f>
        <v>0</v>
      </c>
      <c r="B18" t="e">
        <f ca="1">MATCH("*",OFFSET(A$2,B17,0):A$82,0)+B17</f>
        <v>#N/A</v>
      </c>
      <c r="C18" t="e">
        <f ca="1" t="shared" si="0"/>
        <v>#N/A</v>
      </c>
      <c r="E18" t="b">
        <f>IF(Feats!H65&gt;0,Feats!A65)</f>
        <v>0</v>
      </c>
      <c r="F18" t="e">
        <f ca="1">MATCH("*",OFFSET(E$2,F17,0):E$226,0)+F17</f>
        <v>#N/A</v>
      </c>
      <c r="G18">
        <f ca="1" t="shared" si="1"/>
      </c>
      <c r="J18" t="s">
        <v>8</v>
      </c>
      <c r="K18" t="str">
        <f>"Feat of strength +"&amp;L1&amp;" 1/day"</f>
        <v>Feat of strength +0 1/day</v>
      </c>
      <c r="O18" t="s">
        <v>424</v>
      </c>
      <c r="R18">
        <f>IF(Feats!B11="Spell Mastery",IF(ISBLANK(Skills!C20),IntMod,ROUND((Skills!C20-10.5)/2,0)),0)</f>
        <v>0</v>
      </c>
    </row>
    <row r="19" spans="1:18" ht="12.75">
      <c r="A19" t="b">
        <f>IF(LEN(Begin!D36)&gt;0,Begin!D36)</f>
        <v>0</v>
      </c>
      <c r="B19" t="e">
        <f ca="1">MATCH("*",OFFSET(A$2,B18,0):A$82,0)+B18</f>
        <v>#N/A</v>
      </c>
      <c r="C19" t="e">
        <f ca="1" t="shared" si="0"/>
        <v>#N/A</v>
      </c>
      <c r="E19" t="b">
        <f>IF(Feats!H66&gt;0,Feats!A66)</f>
        <v>0</v>
      </c>
      <c r="F19" t="e">
        <f ca="1">MATCH("*",OFFSET(E$2,F18,0):E$226,0)+F18</f>
        <v>#N/A</v>
      </c>
      <c r="G19">
        <f ca="1" t="shared" si="1"/>
      </c>
      <c r="J19" t="s">
        <v>372</v>
      </c>
      <c r="K19" t="s">
        <v>373</v>
      </c>
      <c r="O19" t="s">
        <v>425</v>
      </c>
      <c r="R19">
        <f>IF(Feats!B12="Spell Mastery",IF(ISBLANK(Skills!C23),IntMod,ROUND((Skills!C23-10.5)/2,0)),0)</f>
        <v>0</v>
      </c>
    </row>
    <row r="20" spans="1:18" ht="12.75">
      <c r="A20" t="b">
        <f>IF(LEN(Begin!D37)&gt;0,Begin!D37)</f>
        <v>0</v>
      </c>
      <c r="B20" t="e">
        <f ca="1">MATCH("*",OFFSET(A$2,B19,0):A$82,0)+B19</f>
        <v>#N/A</v>
      </c>
      <c r="C20" t="e">
        <f ca="1" t="shared" si="0"/>
        <v>#N/A</v>
      </c>
      <c r="E20" t="b">
        <f>IF(Feats!H67&gt;0,Feats!A67)</f>
        <v>0</v>
      </c>
      <c r="F20" t="e">
        <f ca="1">MATCH("*",OFFSET(E$2,F19,0):E$226,0)+F19</f>
        <v>#N/A</v>
      </c>
      <c r="G20">
        <f ca="1" t="shared" si="1"/>
      </c>
      <c r="J20" t="s">
        <v>374</v>
      </c>
      <c r="K20" t="str">
        <f>"Freedom of movement "&amp;L1&amp;" rounds/day"</f>
        <v>Freedom of movement 0 rounds/day</v>
      </c>
      <c r="O20" t="s">
        <v>426</v>
      </c>
      <c r="R20">
        <f>IF(Feats!B15="Spell Mastery",IF(ISBLANK(Skills!C10),IntMod,ROUND((Skills!C10-10.5)/2,0)),0)</f>
        <v>0</v>
      </c>
    </row>
    <row r="21" spans="1:18" ht="12.75">
      <c r="A21" t="b">
        <f>IF(LEN(Begin!D38)&gt;0,Begin!D38)</f>
        <v>0</v>
      </c>
      <c r="B21" t="e">
        <f ca="1">MATCH("*",OFFSET(A$2,B20,0):A$82,0)+B20</f>
        <v>#N/A</v>
      </c>
      <c r="C21" t="e">
        <f ca="1" t="shared" si="0"/>
        <v>#N/A</v>
      </c>
      <c r="E21" t="b">
        <f>IF(Feats!H68&gt;0,Feats!A68)</f>
        <v>0</v>
      </c>
      <c r="F21" t="e">
        <f ca="1">MATCH("*",OFFSET(E$2,F20,0):E$226,0)+F20</f>
        <v>#N/A</v>
      </c>
      <c r="G21">
        <f ca="1" t="shared" si="1"/>
      </c>
      <c r="J21" t="s">
        <v>375</v>
      </c>
      <c r="O21" t="s">
        <v>427</v>
      </c>
      <c r="R21">
        <f>IF(Feats!B16="Spell Mastery",IF(ISBLANK(Skills!C15),IntMod,ROUND((Skills!C15-10.5)/2,0)),0)</f>
        <v>0</v>
      </c>
    </row>
    <row r="22" spans="1:18" ht="12.75">
      <c r="A22" t="b">
        <f>IF(LEN(Begin!D39)&gt;0,Begin!D39)</f>
        <v>0</v>
      </c>
      <c r="B22" t="e">
        <f ca="1">MATCH("*",OFFSET(A$2,B21,0):A$82,0)+B21</f>
        <v>#N/A</v>
      </c>
      <c r="C22" t="e">
        <f ca="1" t="shared" si="0"/>
        <v>#N/A</v>
      </c>
      <c r="E22" t="b">
        <f>IF(Feats!H69&gt;0,Feats!A69)</f>
        <v>0</v>
      </c>
      <c r="F22" t="e">
        <f ca="1">MATCH("*",OFFSET(E$2,F21,0):E$226,0)+F21</f>
        <v>#N/A</v>
      </c>
      <c r="G22">
        <f ca="1" t="shared" si="1"/>
      </c>
      <c r="J22" t="s">
        <v>72</v>
      </c>
      <c r="O22" t="s">
        <v>428</v>
      </c>
      <c r="R22">
        <f>IF(Feats!B17="Spell Mastery",IF(ISBLANK(Skills!C20),IntMod,ROUND((Skills!C20-10.5)/2,0)),0)</f>
        <v>0</v>
      </c>
    </row>
    <row r="23" spans="1:18" ht="12.75">
      <c r="A23" t="b">
        <f>IF(LEN(Begin!D40)&gt;0,Begin!D40)</f>
        <v>0</v>
      </c>
      <c r="B23" t="e">
        <f ca="1">MATCH("*",OFFSET(A$2,B22,0):A$82,0)+B22</f>
        <v>#N/A</v>
      </c>
      <c r="C23" t="e">
        <f ca="1" t="shared" si="0"/>
        <v>#N/A</v>
      </c>
      <c r="E23" t="b">
        <f>IF(Feats!H70&gt;0,Feats!A70)</f>
        <v>0</v>
      </c>
      <c r="F23" t="e">
        <f ca="1">MATCH("*",OFFSET(E$2,F22,0):E$226,0)+F22</f>
        <v>#N/A</v>
      </c>
      <c r="G23">
        <f ca="1" t="shared" si="1"/>
      </c>
      <c r="J23" t="s">
        <v>376</v>
      </c>
      <c r="K23" t="str">
        <f>"Turn fire/rebuke water "&amp;ChaMod+3&amp;"/day"</f>
        <v>Turn fire/rebuke water -2/day</v>
      </c>
      <c r="O23" t="s">
        <v>430</v>
      </c>
      <c r="R23">
        <f>IF(Feats!B18="Spell Mastery",IF(ISBLANK(Skills!C25),IntMod,ROUND((Skills!C25-10.5)/2,0)),0)</f>
        <v>0</v>
      </c>
    </row>
    <row r="24" spans="1:18" ht="12.75">
      <c r="A24" t="b">
        <f>IF(LEN(Begin!D41)&gt;0,Begin!D41)</f>
        <v>0</v>
      </c>
      <c r="B24" t="e">
        <f ca="1">MATCH("*",OFFSET(A$2,B23,0):A$82,0)+B23</f>
        <v>#N/A</v>
      </c>
      <c r="C24" t="e">
        <f ca="1" t="shared" si="0"/>
        <v>#N/A</v>
      </c>
      <c r="E24" t="b">
        <f>IF(Feats!H71&gt;0,Feats!A71)</f>
        <v>0</v>
      </c>
      <c r="F24" t="e">
        <f ca="1">MATCH("*",OFFSET(E$2,F23,0):E$226,0)+F23</f>
        <v>#N/A</v>
      </c>
      <c r="G24">
        <f ca="1" t="shared" si="1"/>
      </c>
      <c r="O24" t="s">
        <v>429</v>
      </c>
      <c r="R24">
        <f>SUM(R12:R23)</f>
        <v>0</v>
      </c>
    </row>
    <row r="25" spans="1:15" ht="12.75">
      <c r="A25" t="b">
        <f>IF(LEN(Begin!D42)&gt;0,Begin!D42)</f>
        <v>0</v>
      </c>
      <c r="B25" t="e">
        <f ca="1">MATCH("*",OFFSET(A$2,B24,0):A$82,0)+B24</f>
        <v>#N/A</v>
      </c>
      <c r="C25" t="e">
        <f ca="1" t="shared" si="0"/>
        <v>#N/A</v>
      </c>
      <c r="E25" t="b">
        <f>IF(Feats!H72&gt;0,Feats!A72)</f>
        <v>0</v>
      </c>
      <c r="F25" t="e">
        <f ca="1">MATCH("*",OFFSET(E$2,F24,0):E$226,0)+F24</f>
        <v>#N/A</v>
      </c>
      <c r="G25">
        <f ca="1" t="shared" si="1"/>
      </c>
      <c r="O25" t="s">
        <v>431</v>
      </c>
    </row>
    <row r="26" spans="1:15" ht="12.75">
      <c r="A26" t="b">
        <f>IF(LEN(Begin!D43)&gt;0,Begin!D43)</f>
        <v>0</v>
      </c>
      <c r="B26" t="e">
        <f ca="1">MATCH("*",OFFSET(A$2,B25,0):A$82,0)+B25</f>
        <v>#N/A</v>
      </c>
      <c r="C26" t="e">
        <f ca="1" t="shared" si="0"/>
        <v>#N/A</v>
      </c>
      <c r="E26" t="b">
        <f>IF(Feats!H73&gt;0,Feats!A73)</f>
        <v>0</v>
      </c>
      <c r="F26" t="e">
        <f ca="1">MATCH("*",OFFSET(E$2,F25,0):E$226,0)+F25</f>
        <v>#N/A</v>
      </c>
      <c r="G26">
        <f ca="1" t="shared" si="1"/>
      </c>
      <c r="O26" t="s">
        <v>432</v>
      </c>
    </row>
    <row r="27" spans="1:15" ht="12.75">
      <c r="A27" t="b">
        <f>IF(LEN(Begin!D44)&gt;0,Begin!D44)</f>
        <v>0</v>
      </c>
      <c r="B27" t="e">
        <f ca="1">MATCH("*",OFFSET(A$2,B26,0):A$82,0)+B26</f>
        <v>#N/A</v>
      </c>
      <c r="C27" t="e">
        <f ca="1" t="shared" si="0"/>
        <v>#N/A</v>
      </c>
      <c r="E27" t="b">
        <f>IF(Feats!H74&gt;0,Feats!A74)</f>
        <v>0</v>
      </c>
      <c r="O27" t="s">
        <v>433</v>
      </c>
    </row>
    <row r="28" spans="1:15" ht="12.75">
      <c r="A28" t="b">
        <f>IF(LEN(Begin!D45)&gt;0,Begin!D45)</f>
        <v>0</v>
      </c>
      <c r="B28" t="e">
        <f ca="1">MATCH("*",OFFSET(A$2,B27,0):A$82,0)+B27</f>
        <v>#N/A</v>
      </c>
      <c r="C28" t="e">
        <f ca="1" t="shared" si="0"/>
        <v>#N/A</v>
      </c>
      <c r="E28" t="b">
        <f>IF(Feats!H75&gt;0,Feats!A75)</f>
        <v>0</v>
      </c>
      <c r="O28" t="s">
        <v>434</v>
      </c>
    </row>
    <row r="29" spans="1:15" ht="12.75">
      <c r="A29" t="b">
        <f>IF(LEN(Begin!G37)&gt;0,Begin!G37)</f>
        <v>0</v>
      </c>
      <c r="B29" t="e">
        <f ca="1">MATCH("*",OFFSET(A$2,B28,0):A$82,0)+B28</f>
        <v>#N/A</v>
      </c>
      <c r="C29" t="e">
        <f ca="1" t="shared" si="0"/>
        <v>#N/A</v>
      </c>
      <c r="E29" t="b">
        <f>IF(Feats!H76&gt;0,Feats!A76)</f>
        <v>0</v>
      </c>
      <c r="O29" t="s">
        <v>435</v>
      </c>
    </row>
    <row r="30" spans="1:15" ht="12.75">
      <c r="A30" t="b">
        <f>IF(LEN(Begin!G38)&gt;0,Begin!G38)</f>
        <v>0</v>
      </c>
      <c r="B30" t="e">
        <f ca="1">MATCH("*",OFFSET(A$2,B29,0):A$82,0)+B29</f>
        <v>#N/A</v>
      </c>
      <c r="C30" t="e">
        <f ca="1" t="shared" si="0"/>
        <v>#N/A</v>
      </c>
      <c r="E30" t="b">
        <f>IF(Feats!H77&gt;0,Feats!A77)</f>
        <v>0</v>
      </c>
      <c r="O30" t="s">
        <v>436</v>
      </c>
    </row>
    <row r="31" spans="1:15" ht="12.75">
      <c r="A31" t="b">
        <f>IF(LEN(Begin!G39)&gt;0,Begin!G39)</f>
        <v>0</v>
      </c>
      <c r="B31" t="e">
        <f ca="1">MATCH("*",OFFSET(A$2,B30,0):A$82,0)+B30</f>
        <v>#N/A</v>
      </c>
      <c r="C31" t="e">
        <f ca="1" t="shared" si="0"/>
        <v>#N/A</v>
      </c>
      <c r="E31" t="b">
        <f>IF(Feats!H78&gt;0,Feats!A78)</f>
        <v>0</v>
      </c>
      <c r="O31" t="s">
        <v>370</v>
      </c>
    </row>
    <row r="32" spans="1:15" ht="12.75">
      <c r="A32" t="b">
        <f>IF(LEN(Begin!G40)&gt;0,Begin!G40)</f>
        <v>0</v>
      </c>
      <c r="B32" t="e">
        <f ca="1">MATCH("*",OFFSET(A$2,B31,0):A$82,0)+B31</f>
        <v>#N/A</v>
      </c>
      <c r="C32" t="e">
        <f ca="1" t="shared" si="0"/>
        <v>#N/A</v>
      </c>
      <c r="E32" t="b">
        <f>IF(Feats!H79&gt;0,Feats!A79)</f>
        <v>0</v>
      </c>
      <c r="O32" t="s">
        <v>437</v>
      </c>
    </row>
    <row r="33" spans="1:15" ht="12.75">
      <c r="A33" t="b">
        <f>IF(LEN(Begin!A48)&gt;0,Begin!A48)</f>
        <v>0</v>
      </c>
      <c r="B33" t="e">
        <f ca="1">MATCH("*",OFFSET(A$2,B32,0):A$82,0)+B32</f>
        <v>#N/A</v>
      </c>
      <c r="C33" t="e">
        <f ca="1" t="shared" si="0"/>
        <v>#N/A</v>
      </c>
      <c r="E33" t="b">
        <f>IF(Feats!$H$80&gt;0,"Exotic Weapon Proficiency ("&amp;Feats!A164&amp;")")</f>
        <v>0</v>
      </c>
      <c r="O33" t="s">
        <v>438</v>
      </c>
    </row>
    <row r="34" spans="1:5" ht="12.75">
      <c r="A34" t="b">
        <f>IF(LEN(Begin!A49)&gt;0,Begin!A49)</f>
        <v>0</v>
      </c>
      <c r="E34" t="b">
        <f>IF(Feats!$H$80&gt;1,"Exotic Weapon Proficiency ("&amp;Feats!A165&amp;")")</f>
        <v>0</v>
      </c>
    </row>
    <row r="35" spans="1:5" ht="12.75">
      <c r="A35" t="b">
        <f>IF(LEN(Begin!A50)&gt;0,Begin!A50)</f>
        <v>0</v>
      </c>
      <c r="E35" t="b">
        <f>IF(Feats!$H$80&gt;2,"Exotic Weapon Proficiency ("&amp;Feats!A166&amp;")")</f>
        <v>0</v>
      </c>
    </row>
    <row r="36" spans="1:5" ht="12.75">
      <c r="A36" t="b">
        <f>IF(LEN(Begin!A51)&gt;0,Begin!A51)</f>
        <v>0</v>
      </c>
      <c r="E36" t="b">
        <f>IF(Feats!$H$80&gt;3,"Exotic Weapon Proficiency ("&amp;Feats!A167&amp;")")</f>
        <v>0</v>
      </c>
    </row>
    <row r="37" spans="1:5" ht="12.75">
      <c r="A37" t="b">
        <f>IF(LEN(Begin!A52)&gt;0,Begin!A52)</f>
        <v>0</v>
      </c>
      <c r="E37" t="b">
        <f>IF(Feats!$H$80&gt;4,"Exotic Weapon Proficiency ("&amp;Feats!A168&amp;")")</f>
        <v>0</v>
      </c>
    </row>
    <row r="38" spans="1:5" ht="12.75">
      <c r="A38" t="b">
        <f>IF(LEN(Begin!A53)&gt;0,Begin!A53)</f>
        <v>0</v>
      </c>
      <c r="E38" t="b">
        <f>IF(Feats!$H$80&gt;5,"Exotic Weapon Proficiency ("&amp;Feats!A169&amp;")")</f>
        <v>0</v>
      </c>
    </row>
    <row r="39" spans="1:5" ht="12.75">
      <c r="A39" t="b">
        <f>IF(LEN(Begin!A54)&gt;0,Begin!A54)</f>
        <v>0</v>
      </c>
      <c r="E39" t="b">
        <f>IF(Feats!$H$80&gt;6,"Exotic Weapon Proficiency ("&amp;Feats!A170&amp;")")</f>
        <v>0</v>
      </c>
    </row>
    <row r="40" spans="1:5" ht="12.75">
      <c r="A40" t="b">
        <f>IF(LEN(Begin!A55)&gt;0,Begin!A55)</f>
        <v>0</v>
      </c>
      <c r="E40" t="b">
        <f>IF(Feats!$H$80&gt;7,"Exotic Weapon Proficiency ("&amp;Feats!A171&amp;")")</f>
        <v>0</v>
      </c>
    </row>
    <row r="41" spans="1:5" ht="12.75">
      <c r="A41" t="b">
        <f>IF(LEN(Begin!A56)&gt;0,Begin!A56)</f>
        <v>0</v>
      </c>
      <c r="E41" t="b">
        <f>IF(Feats!$H$80&gt;8,"Exotic Weapon Proficiency ("&amp;Feats!A172&amp;")")</f>
        <v>0</v>
      </c>
    </row>
    <row r="42" spans="1:5" ht="12.75">
      <c r="A42" t="b">
        <f>IF(LEN(Begin!A57)&gt;0,Begin!A57)</f>
        <v>0</v>
      </c>
      <c r="E42" t="b">
        <f>IF(Feats!$H$80&gt;9,"Exotic Weapon Proficiency ("&amp;Feats!A173&amp;")")</f>
        <v>0</v>
      </c>
    </row>
    <row r="43" spans="1:5" ht="12.75">
      <c r="A43" t="b">
        <f>IF(LEN(Begin!A58)&gt;0,Begin!A58)</f>
        <v>0</v>
      </c>
      <c r="E43" t="b">
        <f>IF(Feats!$H$80&gt;10,"Exotic Weapon Proficiency ("&amp;Feats!A174&amp;")")</f>
        <v>0</v>
      </c>
    </row>
    <row r="44" spans="1:5" ht="12.75">
      <c r="A44" t="b">
        <f>IF(LEN(Begin!G48)&gt;0,Begin!G48)</f>
        <v>0</v>
      </c>
      <c r="E44" t="b">
        <f>IF(Feats!$H$80&gt;11,"Exotic Weapon Proficiency ("&amp;Feats!A175&amp;")")</f>
        <v>0</v>
      </c>
    </row>
    <row r="45" spans="1:5" ht="12.75">
      <c r="A45" t="b">
        <f>IF(LEN(Begin!G52)&gt;0,Begin!G52)</f>
        <v>0</v>
      </c>
      <c r="E45" t="b">
        <f>IF(Feats!H81&gt;0,Feats!A81)</f>
        <v>0</v>
      </c>
    </row>
    <row r="46" spans="1:5" ht="12.75">
      <c r="A46" t="b">
        <f>IF(LEN(Begin!G53)&gt;0,Begin!G53)</f>
        <v>0</v>
      </c>
      <c r="E46" t="b">
        <f>IF(Feats!H82&gt;0,Feats!A82&amp;IF(Feats!H82&gt;0," ("&amp;Feats!H82&amp;")",""))</f>
        <v>0</v>
      </c>
    </row>
    <row r="47" spans="1:5" ht="12.75">
      <c r="A47" t="b">
        <f>IF(LEN(Begin!G54)&gt;0,Begin!G54)</f>
        <v>0</v>
      </c>
      <c r="E47" t="b">
        <f>IF(Feats!H83&gt;0,Feats!A83)</f>
        <v>0</v>
      </c>
    </row>
    <row r="48" spans="1:5" ht="12.75">
      <c r="A48" t="b">
        <f>IF(LEN(Begin!G55)&gt;0,Begin!G55)</f>
        <v>0</v>
      </c>
      <c r="E48" t="b">
        <f>IF(Feats!H84&gt;0,Feats!A84)</f>
        <v>0</v>
      </c>
    </row>
    <row r="49" spans="1:5" ht="12.75">
      <c r="A49" t="b">
        <f>IF(LEN(Begin!G56)&gt;0,Begin!G56)</f>
        <v>0</v>
      </c>
      <c r="E49" t="b">
        <f>IF(Feats!H85&gt;0,Feats!A85)</f>
        <v>0</v>
      </c>
    </row>
    <row r="50" spans="1:5" ht="12.75">
      <c r="A50" t="b">
        <f>IF(LEN(Begin!G57)&gt;0,Begin!G57)</f>
        <v>0</v>
      </c>
      <c r="E50" t="b">
        <f>IF(Feats!H86&gt;0,Feats!A86)</f>
        <v>0</v>
      </c>
    </row>
    <row r="51" spans="1:5" ht="12.75">
      <c r="A51" t="b">
        <f>IF(LEN(Begin!G58)&gt;0,Begin!G58)</f>
        <v>0</v>
      </c>
      <c r="E51" t="b">
        <f>IF(Feats!H$87&gt;0,Feats!A$87&amp;" ("&amp;Feats!F164&amp;")")</f>
        <v>0</v>
      </c>
    </row>
    <row r="52" spans="1:5" ht="12.75">
      <c r="A52" t="b">
        <f>IF(LEN(Begin!G59)&gt;0,Begin!G59)</f>
        <v>0</v>
      </c>
      <c r="E52" t="b">
        <f>IF(Feats!H$87&gt;1,Feats!A$87&amp;" ("&amp;Feats!F165&amp;")")</f>
        <v>0</v>
      </c>
    </row>
    <row r="53" spans="1:5" ht="12.75">
      <c r="A53" t="b">
        <f>IF(LEN(Begin!G60)&gt;0,Begin!G60)</f>
        <v>0</v>
      </c>
      <c r="E53" t="b">
        <f>IF(Feats!H$87&gt;2,Feats!A$87&amp;" ("&amp;Feats!F166&amp;")")</f>
        <v>0</v>
      </c>
    </row>
    <row r="54" spans="1:5" ht="12.75">
      <c r="A54" t="b">
        <f>IF(LEN(Begin!G61)&gt;0,Begin!G61)</f>
        <v>0</v>
      </c>
      <c r="E54" t="b">
        <f>IF(Feats!H$87&gt;3,Feats!A$87&amp;" ("&amp;Feats!F167&amp;")")</f>
        <v>0</v>
      </c>
    </row>
    <row r="55" spans="1:5" ht="12.75">
      <c r="A55" t="b">
        <f>IF(LEN(Begin!G62)&gt;0,Begin!G62)</f>
        <v>0</v>
      </c>
      <c r="E55" t="b">
        <f>IF(Feats!H$87&gt;4,Feats!A$87&amp;" ("&amp;Feats!F168&amp;")")</f>
        <v>0</v>
      </c>
    </row>
    <row r="56" spans="1:5" ht="12.75">
      <c r="A56" t="b">
        <f>IF(LEN(Begin!G63)&gt;0,Begin!G63)</f>
        <v>0</v>
      </c>
      <c r="E56" t="b">
        <f>IF(Feats!H$87&gt;5,Feats!A$87&amp;" ("&amp;Feats!F169&amp;")")</f>
        <v>0</v>
      </c>
    </row>
    <row r="57" spans="1:5" ht="12.75">
      <c r="A57" t="b">
        <f>IF(LEN(Begin!A66)&gt;0,Begin!A66)</f>
        <v>0</v>
      </c>
      <c r="E57" t="b">
        <f>IF(Feats!H$87&gt;6,Feats!A$87&amp;" ("&amp;Feats!F170&amp;")")</f>
        <v>0</v>
      </c>
    </row>
    <row r="58" spans="1:5" ht="12.75">
      <c r="A58" t="b">
        <f>IF(LEN(Begin!A67)&gt;0,Begin!A67)</f>
        <v>0</v>
      </c>
      <c r="E58" t="b">
        <f>IF(Feats!H$87&gt;7,Feats!A$87&amp;" ("&amp;Feats!F171&amp;")")</f>
        <v>0</v>
      </c>
    </row>
    <row r="59" spans="1:5" ht="12.75">
      <c r="A59" t="b">
        <f>IF(LEN(Begin!A68)&gt;0,Begin!A68)</f>
        <v>0</v>
      </c>
      <c r="E59" t="b">
        <f>IF(Feats!H88&gt;0,Feats!A88)</f>
        <v>0</v>
      </c>
    </row>
    <row r="60" spans="1:5" ht="12.75">
      <c r="A60" t="b">
        <f>IF(LEN(Begin!A69)&gt;0,Begin!A69)</f>
        <v>0</v>
      </c>
      <c r="E60" t="b">
        <f>IF(Feats!H89&gt;0,Feats!A89)</f>
        <v>0</v>
      </c>
    </row>
    <row r="61" spans="1:5" ht="12.75">
      <c r="A61" t="b">
        <f>IF(LEN(Begin!A70)&gt;0,Begin!A70)</f>
        <v>0</v>
      </c>
      <c r="E61" t="b">
        <f>IF(Feats!H$90&gt;0,Feats!A$90&amp;" ("&amp;Feats!H164&amp;")")</f>
        <v>0</v>
      </c>
    </row>
    <row r="62" spans="1:5" ht="12.75">
      <c r="A62" t="b">
        <f>IF(LEN(Begin!A73)&gt;0,Begin!A73)</f>
        <v>0</v>
      </c>
      <c r="E62" t="b">
        <f>IF(Feats!H$90&gt;1,Feats!A$90&amp;" ("&amp;Feats!H165&amp;")")</f>
        <v>0</v>
      </c>
    </row>
    <row r="63" spans="1:5" ht="12.75">
      <c r="A63" t="b">
        <f>IF(LEN(Begin!A74)&gt;0,Begin!A74)</f>
        <v>0</v>
      </c>
      <c r="E63" t="b">
        <f>IF(Feats!H$90&gt;2,Feats!A$90&amp;" ("&amp;Feats!H166&amp;")")</f>
        <v>0</v>
      </c>
    </row>
    <row r="64" spans="1:5" ht="12.75">
      <c r="A64" t="b">
        <f>IF(LEN(Begin!D66)&gt;0,Begin!D66)</f>
        <v>0</v>
      </c>
      <c r="E64" t="b">
        <f>IF(Feats!H$90&gt;3,Feats!A$90&amp;" ("&amp;Feats!H167&amp;")")</f>
        <v>0</v>
      </c>
    </row>
    <row r="65" spans="1:5" ht="12.75">
      <c r="A65" t="b">
        <f>IF(LEN(Begin!E67)&gt;0," "&amp;Begin!E67&amp;" +"&amp;2+IF(Begin!E67=Begin!F68,2,0)+IF(Begin!E67=Begin!F69,2,0)+IF(Begin!E67=Begin!F70,2,0)+IF(Begin!E67=Begin!F71,2,0))</f>
        <v>0</v>
      </c>
      <c r="E65" t="b">
        <f>IF(Feats!H$90&gt;4,Feats!A$90&amp;" ("&amp;Feats!H168&amp;")")</f>
        <v>0</v>
      </c>
    </row>
    <row r="66" spans="1:5" ht="12.75">
      <c r="A66" t="b">
        <f>IF(LEN(Begin!E68)&gt;0," "&amp;Begin!E68&amp;" +"&amp;2+IF(Begin!E68=Begin!F68,2,0)+IF(Begin!E68=Begin!F69,2,0)+IF(Begin!E68=Begin!F70,2,0)+IF(Begin!E68=Begin!F71,2,0))</f>
        <v>0</v>
      </c>
      <c r="E66" t="b">
        <f>IF(Feats!H$90&gt;5,Feats!A$90&amp;" ("&amp;Feats!H169&amp;")")</f>
        <v>0</v>
      </c>
    </row>
    <row r="67" spans="1:5" ht="12.75">
      <c r="A67" t="b">
        <f>IF(LEN(Begin!E69)&gt;0," "&amp;Begin!E69&amp;" +"&amp;2+IF(Begin!E69=Begin!F69,2,0)+IF(Begin!E69=Begin!F70,2,0)+IF(Begin!E69=Begin!F71,2,0))</f>
        <v>0</v>
      </c>
      <c r="E67" t="b">
        <f>IF(Feats!H$90&gt;6,Feats!A$90&amp;" ("&amp;Feats!H170&amp;")")</f>
        <v>0</v>
      </c>
    </row>
    <row r="68" spans="1:5" ht="12.75">
      <c r="A68" t="b">
        <f>IF(LEN(Begin!E70)&gt;0," "&amp;Begin!E70&amp;" +"&amp;2+IF(Begin!E70=Begin!F70,2,0)+IF(Begin!E70=Begin!F71,2,0))</f>
        <v>0</v>
      </c>
      <c r="E68" t="b">
        <f>IF(Feats!H$90&gt;7,Feats!A$90&amp;" ("&amp;Feats!H171&amp;")")</f>
        <v>0</v>
      </c>
    </row>
    <row r="69" spans="1:5" ht="12.75">
      <c r="A69" t="b">
        <f>IF(LEN(Begin!E71)&gt;0," "&amp;Begin!E71&amp;" +"&amp;2+IF(Begin!E71=Begin!F71,2,0))</f>
        <v>0</v>
      </c>
      <c r="E69" t="b">
        <f>IF(Feats!H$90&gt;8,Feats!A$90&amp;" ("&amp;Feats!H172&amp;")")</f>
        <v>0</v>
      </c>
    </row>
    <row r="70" spans="1:5" ht="12.75">
      <c r="A70" t="b">
        <f>IF(LEN(Begin!D72)&gt;0,Begin!D72&amp;" "&amp;Begin!F72)</f>
        <v>0</v>
      </c>
      <c r="E70" t="b">
        <f>IF(Feats!H$90&gt;9,Feats!A$90&amp;" ("&amp;Feats!H173&amp;")")</f>
        <v>0</v>
      </c>
    </row>
    <row r="71" spans="1:5" ht="12.75">
      <c r="A71" t="b">
        <f>IF(LEN(Begin!D73)&gt;0,Begin!D73)</f>
        <v>0</v>
      </c>
      <c r="E71" t="b">
        <f>IF(Feats!H$90&gt;10,Feats!A$90&amp;" ("&amp;Feats!H174&amp;")")</f>
        <v>0</v>
      </c>
    </row>
    <row r="72" spans="1:5" ht="12.75">
      <c r="A72" t="b">
        <f>IF(LEN(Begin!D74)&gt;0,Begin!D74)</f>
        <v>0</v>
      </c>
      <c r="E72" t="b">
        <f>IF(Feats!H$90&gt;11,Feats!A$90&amp;" ("&amp;Feats!H175&amp;")")</f>
        <v>0</v>
      </c>
    </row>
    <row r="73" spans="1:5" ht="12.75">
      <c r="A73" t="b">
        <f>IF(LEN(Begin!D75)&gt;0,Begin!D75)</f>
        <v>0</v>
      </c>
      <c r="E73" t="b">
        <f>IF(Feats!H$91&gt;0,Feats!A$91&amp;" ("&amp;Feats!J164&amp;")")</f>
        <v>0</v>
      </c>
    </row>
    <row r="74" spans="1:5" ht="12.75">
      <c r="A74" t="b">
        <f>IF(LEN(Begin!G66)&gt;0,Begin!G66)</f>
        <v>0</v>
      </c>
      <c r="E74" t="b">
        <f>IF(Feats!H$91&gt;1,Feats!A$91&amp;" ("&amp;Feats!J165&amp;")")</f>
        <v>0</v>
      </c>
    </row>
    <row r="75" spans="1:5" ht="12.75">
      <c r="A75" t="b">
        <f>IF(LEN(Begin!G67)&gt;0,Begin!G67)</f>
        <v>0</v>
      </c>
      <c r="E75" t="b">
        <f>IF(Feats!H$91&gt;2,Feats!A$91&amp;" ("&amp;Feats!J166&amp;")")</f>
        <v>0</v>
      </c>
    </row>
    <row r="76" spans="1:5" ht="12.75">
      <c r="A76" t="b">
        <f>IF(LEN(Begin!H68)&gt;0,Begin!H68)</f>
        <v>0</v>
      </c>
      <c r="E76" t="b">
        <f>IF(Feats!H$91&gt;3,Feats!A$91&amp;" ("&amp;Feats!J167&amp;")")</f>
        <v>0</v>
      </c>
    </row>
    <row r="77" spans="1:5" ht="12.75">
      <c r="A77" t="b">
        <f>IF(LEN(Begin!H69)&gt;0,Begin!H69)</f>
        <v>0</v>
      </c>
      <c r="E77" t="b">
        <f>IF(Feats!H$91&gt;4,Feats!A$91&amp;" ("&amp;Feats!J168&amp;")")</f>
        <v>0</v>
      </c>
    </row>
    <row r="78" spans="1:5" ht="12.75">
      <c r="A78" t="b">
        <f>IF(LEN(Begin!H70)&gt;0,Begin!H70)</f>
        <v>0</v>
      </c>
      <c r="E78" t="b">
        <f>IF(Feats!H$91&gt;5,Feats!A$91&amp;" ("&amp;Feats!J169&amp;")")</f>
        <v>0</v>
      </c>
    </row>
    <row r="79" spans="1:5" ht="12.75">
      <c r="A79" t="b">
        <f>IF(LEN(Begin!H71)&gt;0,Begin!H71)</f>
        <v>0</v>
      </c>
      <c r="E79" t="b">
        <f>IF(Feats!H$91&gt;6,Feats!A$91&amp;" ("&amp;Feats!J170&amp;")")</f>
        <v>0</v>
      </c>
    </row>
    <row r="80" spans="1:5" ht="12.75">
      <c r="A80" t="b">
        <f>IF(LEN(Begin!I78)&gt;0,Begin!G78&amp;" "&amp;Begin!I78)</f>
        <v>0</v>
      </c>
      <c r="E80" t="b">
        <f>IF(Feats!H$91&gt;7,Feats!A$91&amp;" ("&amp;Feats!J171&amp;")")</f>
        <v>0</v>
      </c>
    </row>
    <row r="81" spans="1:5" ht="12.75">
      <c r="A81" t="b">
        <f>IF(LEN(Begin!I79)&gt;0,Begin!G79&amp;" "&amp;Begin!I79)</f>
        <v>0</v>
      </c>
      <c r="E81" t="b">
        <f>IF(Feats!H$91&gt;8,Feats!A$91&amp;" ("&amp;Feats!J172&amp;")")</f>
        <v>0</v>
      </c>
    </row>
    <row r="82" spans="1:5" ht="12.75">
      <c r="A82" t="b">
        <f>IF(LEN(Begin!I80)&gt;0,Begin!G80&amp;" "&amp;Begin!I80)</f>
        <v>0</v>
      </c>
      <c r="E82" t="b">
        <f>IF(Feats!H$91&gt;9,Feats!A$91&amp;" ("&amp;Feats!J173&amp;")")</f>
        <v>0</v>
      </c>
    </row>
    <row r="83" ht="12.75">
      <c r="E83" t="b">
        <f>IF(Feats!H$91&gt;10,Feats!A$91&amp;" ("&amp;Feats!J174&amp;")")</f>
        <v>0</v>
      </c>
    </row>
    <row r="84" ht="12.75">
      <c r="E84" t="b">
        <f>IF(Feats!H$91&gt;11,Feats!A$91&amp;" ("&amp;Feats!J175&amp;")")</f>
        <v>0</v>
      </c>
    </row>
    <row r="85" ht="12.75">
      <c r="E85" t="b">
        <f>IF(Feats!H92&gt;0,Feats!A92)</f>
        <v>0</v>
      </c>
    </row>
    <row r="86" ht="12.75">
      <c r="E86" t="b">
        <f>IF(Feats!H93&gt;0,Feats!A93)</f>
        <v>0</v>
      </c>
    </row>
    <row r="87" ht="12.75">
      <c r="E87" t="b">
        <f>IF(Feats!H94&gt;0,Feats!A94)</f>
        <v>0</v>
      </c>
    </row>
    <row r="88" ht="12.75">
      <c r="E88" t="b">
        <f>IF(Feats!H$95&gt;0,"Improved Critical ("&amp;Feats!B164&amp;")")</f>
        <v>0</v>
      </c>
    </row>
    <row r="89" ht="12.75">
      <c r="E89" t="b">
        <f>IF(Feats!H$95&gt;1,"Improved Critical ("&amp;Feats!B165&amp;")")</f>
        <v>0</v>
      </c>
    </row>
    <row r="90" ht="12.75">
      <c r="E90" t="b">
        <f>IF(Feats!H$95&gt;2,"Improved Critical ("&amp;Feats!B166&amp;")")</f>
        <v>0</v>
      </c>
    </row>
    <row r="91" ht="12.75">
      <c r="E91" t="b">
        <f>IF(Feats!H$95&gt;3,"Improved Critical ("&amp;Feats!B167&amp;")")</f>
        <v>0</v>
      </c>
    </row>
    <row r="92" ht="12.75">
      <c r="E92" t="b">
        <f>IF(Feats!H$95&gt;4,"Improved Critical ("&amp;Feats!B168&amp;")")</f>
        <v>0</v>
      </c>
    </row>
    <row r="93" ht="12.75">
      <c r="E93" t="b">
        <f>IF(Feats!H$95&gt;5,"Improved Critical ("&amp;Feats!B169&amp;")")</f>
        <v>0</v>
      </c>
    </row>
    <row r="94" ht="12.75">
      <c r="E94" t="b">
        <f>IF(Feats!H$95&gt;6,"Improved Critical ("&amp;Feats!B170&amp;")")</f>
        <v>0</v>
      </c>
    </row>
    <row r="95" ht="12.75">
      <c r="E95" t="b">
        <f>IF(Feats!H$95&gt;7,"Improved Critical ("&amp;Feats!B171&amp;")")</f>
        <v>0</v>
      </c>
    </row>
    <row r="96" ht="12.75">
      <c r="E96" t="b">
        <f>IF(Feats!H$95&gt;8,"Improved Critical ("&amp;Feats!B172&amp;")")</f>
        <v>0</v>
      </c>
    </row>
    <row r="97" ht="12.75">
      <c r="E97" t="b">
        <f>IF(Feats!H$95&gt;9,"Improved Critical ("&amp;Feats!B173&amp;")")</f>
        <v>0</v>
      </c>
    </row>
    <row r="98" ht="12.75">
      <c r="E98" t="b">
        <f>IF(Feats!H$95&gt;10,"Improved Critical ("&amp;Feats!B174&amp;")")</f>
        <v>0</v>
      </c>
    </row>
    <row r="99" ht="12.75">
      <c r="E99" t="b">
        <f>IF(Feats!H$95&gt;11,"Improved Critical ("&amp;Feats!B175&amp;")")</f>
        <v>0</v>
      </c>
    </row>
    <row r="100" ht="12.75">
      <c r="E100" t="b">
        <f>IF(Feats!H96&gt;0,Feats!A96)</f>
        <v>0</v>
      </c>
    </row>
    <row r="101" ht="12.75">
      <c r="E101" t="b">
        <f>IF(Feats!H97&gt;0,Feats!A97)</f>
        <v>0</v>
      </c>
    </row>
    <row r="102" ht="12.75">
      <c r="E102" t="b">
        <f>IF(Feats!H98&gt;0,Feats!A98)</f>
        <v>0</v>
      </c>
    </row>
    <row r="103" ht="12.75">
      <c r="E103" t="b">
        <f>IF(Feats!H99&gt;0,Feats!A99)</f>
        <v>0</v>
      </c>
    </row>
    <row r="104" ht="12.75">
      <c r="E104" t="b">
        <f>IF(Feats!H100&gt;0,Feats!A100)</f>
        <v>0</v>
      </c>
    </row>
    <row r="105" ht="12.75">
      <c r="E105" t="b">
        <f>IF(Feats!H101&gt;0,Feats!A101)</f>
        <v>0</v>
      </c>
    </row>
    <row r="106" ht="12.75">
      <c r="E106" t="b">
        <f>IF(Feats!H102&gt;0,Feats!A102)</f>
        <v>0</v>
      </c>
    </row>
    <row r="107" ht="12.75">
      <c r="E107" t="b">
        <f>IF(Feats!H103&gt;0,Feats!A103)</f>
        <v>0</v>
      </c>
    </row>
    <row r="108" ht="12.75">
      <c r="E108" t="b">
        <f>IF(Feats!H104&gt;0,Feats!A104)</f>
        <v>0</v>
      </c>
    </row>
    <row r="109" ht="12.75">
      <c r="E109" t="b">
        <f>IF(Feats!H105&gt;0,Feats!A105)</f>
        <v>0</v>
      </c>
    </row>
    <row r="110" ht="12.75">
      <c r="E110" t="b">
        <f>IF(Feats!H106&gt;0,Feats!A106)</f>
        <v>0</v>
      </c>
    </row>
    <row r="111" ht="12.75">
      <c r="E111" t="b">
        <f>IF(Feats!H107&gt;0,Feats!A107)</f>
        <v>0</v>
      </c>
    </row>
    <row r="112" ht="12.75">
      <c r="E112" t="b">
        <f>IF(Feats!H108&gt;0,Feats!A108)</f>
        <v>0</v>
      </c>
    </row>
    <row r="113" ht="12.75">
      <c r="E113" t="b">
        <f>IF(Feats!H109&gt;0,Feats!A109)</f>
        <v>0</v>
      </c>
    </row>
    <row r="114" ht="12.75">
      <c r="E114" t="b">
        <f>IF(Feats!H110&gt;0,Feats!A110)</f>
        <v>0</v>
      </c>
    </row>
    <row r="115" ht="12.75">
      <c r="E115" t="b">
        <f>IF(Feats!H111&gt;0,Feats!A111)</f>
        <v>0</v>
      </c>
    </row>
    <row r="116" ht="12.75">
      <c r="E116" t="b">
        <f>IF(Feats!H112&gt;0,Feats!A112)</f>
        <v>0</v>
      </c>
    </row>
    <row r="117" ht="12.75">
      <c r="E117" t="b">
        <f>IF(Feats!H113&gt;0,Feats!A113)</f>
        <v>0</v>
      </c>
    </row>
    <row r="118" ht="12.75">
      <c r="E118" t="b">
        <f>IF(Feats!H114="All",Feats!A114&amp;" (All)")</f>
        <v>0</v>
      </c>
    </row>
    <row r="119" ht="12.75">
      <c r="E119" t="b">
        <f>IF(AND(Feats!$H$114&lt;&gt;"All",Feats!$H$114&gt;0),"Martial Weapon Proficiency ("&amp;Feats!C164&amp;")")</f>
        <v>0</v>
      </c>
    </row>
    <row r="120" ht="12.75">
      <c r="E120" t="b">
        <f>IF(AND(Feats!$H$114&lt;&gt;"All",Feats!$H$114&gt;1),"Martial Weapon Proficiency ("&amp;Feats!C165&amp;")")</f>
        <v>0</v>
      </c>
    </row>
    <row r="121" ht="12.75">
      <c r="E121" t="b">
        <f>IF(AND(Feats!$H$114&lt;&gt;"All",Feats!$H$114&gt;2),"Martial Weapon Proficiency ("&amp;Feats!C166&amp;")")</f>
        <v>0</v>
      </c>
    </row>
    <row r="122" ht="12.75">
      <c r="E122" t="b">
        <f>IF(AND(Feats!$H$114&lt;&gt;"All",Feats!$H$114&gt;3),"Martial Weapon Proficiency ("&amp;Feats!C167&amp;")")</f>
        <v>0</v>
      </c>
    </row>
    <row r="123" ht="12.75">
      <c r="E123" t="b">
        <f>IF(AND(Feats!$H$114&lt;&gt;"All",Feats!$H$114&gt;4),"Martial Weapon Proficiency ("&amp;Feats!C168&amp;")")</f>
        <v>0</v>
      </c>
    </row>
    <row r="124" ht="12.75">
      <c r="E124" t="b">
        <f>IF(AND(Feats!$H$114&lt;&gt;"All",Feats!$H$114&gt;5),"Martial Weapon Proficiency ("&amp;Feats!C169&amp;")")</f>
        <v>0</v>
      </c>
    </row>
    <row r="125" ht="12.75">
      <c r="E125" t="b">
        <f>IF(AND(Feats!$H$114&lt;&gt;"All",Feats!$H$114&gt;6),"Martial Weapon Proficiency ("&amp;Feats!C170&amp;")")</f>
        <v>0</v>
      </c>
    </row>
    <row r="126" ht="12.75">
      <c r="E126" t="b">
        <f>IF(AND(Feats!$H$114&lt;&gt;"All",Feats!$H$114&gt;7),"Martial Weapon Proficiency ("&amp;Feats!C171&amp;")")</f>
        <v>0</v>
      </c>
    </row>
    <row r="127" ht="12.75">
      <c r="E127" t="b">
        <f>IF(AND(Feats!$H$114&lt;&gt;"All",Feats!$H$114&gt;8),"Martial Weapon Proficiency ("&amp;Feats!C172&amp;")")</f>
        <v>0</v>
      </c>
    </row>
    <row r="128" ht="12.75">
      <c r="E128" t="b">
        <f>IF(AND(Feats!$H$114&lt;&gt;"All",Feats!$H$114&gt;9),"Martial Weapon Proficiency ("&amp;Feats!C173&amp;")")</f>
        <v>0</v>
      </c>
    </row>
    <row r="129" ht="12.75">
      <c r="E129" t="b">
        <f>IF(AND(Feats!$H$114&lt;&gt;"All",Feats!$H$114&gt;10),"Martial Weapon Proficiency ("&amp;Feats!C174&amp;")")</f>
        <v>0</v>
      </c>
    </row>
    <row r="130" ht="12.75">
      <c r="E130" t="b">
        <f>IF(AND(Feats!$H$114&lt;&gt;"All",Feats!$H$114&gt;11),"Martial Weapon Proficiency ("&amp;Feats!C175&amp;")")</f>
        <v>0</v>
      </c>
    </row>
    <row r="131" ht="12.75">
      <c r="E131" t="b">
        <f>IF(Feats!H115&gt;0,Feats!A115)</f>
        <v>0</v>
      </c>
    </row>
    <row r="132" ht="12.75">
      <c r="E132" t="b">
        <f>IF(Feats!H116&gt;0,Feats!A116)</f>
        <v>0</v>
      </c>
    </row>
    <row r="133" ht="12.75">
      <c r="E133" t="b">
        <f>IF(Feats!H117&gt;0,Feats!A117)</f>
        <v>0</v>
      </c>
    </row>
    <row r="134" ht="12.75">
      <c r="E134" t="b">
        <f>IF(Feats!H118&gt;0,Feats!A118)</f>
        <v>0</v>
      </c>
    </row>
    <row r="135" ht="12.75">
      <c r="E135" t="b">
        <f>IF(Feats!H119&gt;0,Feats!A119)</f>
        <v>0</v>
      </c>
    </row>
    <row r="136" ht="12.75">
      <c r="E136" t="b">
        <f>IF(Feats!H120&gt;0,Feats!A120)</f>
        <v>0</v>
      </c>
    </row>
    <row r="137" ht="12.75">
      <c r="E137" t="b">
        <f>IF(Feats!H121&gt;0,Feats!A121)</f>
        <v>0</v>
      </c>
    </row>
    <row r="138" ht="12.75">
      <c r="E138" t="b">
        <f>IF(Feats!H123&gt;0,Feats!A123)</f>
        <v>0</v>
      </c>
    </row>
    <row r="139" ht="12.75">
      <c r="E139" t="b">
        <f>IF(Feats!H124&gt;0,Feats!A124)</f>
        <v>0</v>
      </c>
    </row>
    <row r="140" ht="12.75">
      <c r="E140" t="b">
        <f>IF(Feats!H125&gt;0,Feats!A125)</f>
        <v>0</v>
      </c>
    </row>
    <row r="141" ht="12.75">
      <c r="E141" t="b">
        <f>IF(Feats!H126&gt;0,Feats!A126)</f>
        <v>0</v>
      </c>
    </row>
    <row r="142" ht="12.75">
      <c r="E142" t="b">
        <f>IF(Feats!H127&gt;0,Feats!A127)</f>
        <v>0</v>
      </c>
    </row>
    <row r="143" ht="12.75">
      <c r="E143" t="b">
        <f>IF(Feats!H128&gt;0,Feats!A128)</f>
        <v>0</v>
      </c>
    </row>
    <row r="144" ht="12.75">
      <c r="E144" t="b">
        <f>IF(Feats!H129&gt;0,Feats!A129)</f>
        <v>0</v>
      </c>
    </row>
    <row r="145" ht="12.75">
      <c r="E145" t="b">
        <f>IF(Feats!H130&gt;0,Feats!A130)</f>
        <v>0</v>
      </c>
    </row>
    <row r="146" ht="12.75">
      <c r="E146" t="b">
        <f>IF(Feats!H131&gt;0,Feats!A131)</f>
        <v>0</v>
      </c>
    </row>
    <row r="147" ht="12.75">
      <c r="E147" t="b">
        <f>IF(Feats!H132&gt;0,Feats!A132)</f>
        <v>0</v>
      </c>
    </row>
    <row r="148" ht="12.75">
      <c r="E148" t="b">
        <f>IF(Feats!H133&gt;0,Feats!A133)</f>
        <v>0</v>
      </c>
    </row>
    <row r="149" ht="12.75">
      <c r="E149" t="b">
        <f>IF(Feats!H134&gt;0,Feats!A134)</f>
        <v>0</v>
      </c>
    </row>
    <row r="150" ht="12.75">
      <c r="E150" t="b">
        <f>IF(Feats!H135&gt;0,Feats!A135)</f>
        <v>0</v>
      </c>
    </row>
    <row r="151" ht="12.75">
      <c r="E151" t="b">
        <f>IF(Feats!H136&gt;0,Feats!A136)</f>
        <v>0</v>
      </c>
    </row>
    <row r="152" ht="12.75">
      <c r="E152" t="b">
        <f>IF(Feats!H137&gt;0,Feats!A137)</f>
        <v>0</v>
      </c>
    </row>
    <row r="153" ht="12.75">
      <c r="E153" t="b">
        <f>IF(Feats!H138&gt;0,Feats!A138)</f>
        <v>0</v>
      </c>
    </row>
    <row r="154" ht="12.75">
      <c r="E154" t="b">
        <f>IF(Feats!H$139&gt;0,Feats!A$139&amp;" ("&amp;Feats!D164&amp;")")</f>
        <v>0</v>
      </c>
    </row>
    <row r="155" ht="12.75">
      <c r="E155" t="b">
        <f>IF(Feats!H$139&gt;1,Feats!A$139&amp;" ("&amp;Feats!D165&amp;")")</f>
        <v>0</v>
      </c>
    </row>
    <row r="156" ht="12.75">
      <c r="E156" t="b">
        <f>IF(Feats!H$139&gt;2,Feats!A$139&amp;" ("&amp;Feats!D166&amp;")")</f>
        <v>0</v>
      </c>
    </row>
    <row r="157" ht="12.75">
      <c r="E157" t="b">
        <f>IF(Feats!H$139&gt;3,Feats!A$139&amp;" ("&amp;Feats!D167&amp;")")</f>
        <v>0</v>
      </c>
    </row>
    <row r="158" ht="12.75">
      <c r="E158" t="b">
        <f>IF(Feats!H$139&gt;4,Feats!A$139&amp;" ("&amp;Feats!D168&amp;")")</f>
        <v>0</v>
      </c>
    </row>
    <row r="159" ht="12.75">
      <c r="E159" t="b">
        <f>IF(Feats!H$139&gt;5,Feats!A$139&amp;" ("&amp;Feats!D169&amp;")")</f>
        <v>0</v>
      </c>
    </row>
    <row r="160" ht="12.75">
      <c r="E160" t="b">
        <f>IF(Feats!H$139&gt;6,Feats!A$139&amp;" ("&amp;Feats!D170&amp;")")</f>
        <v>0</v>
      </c>
    </row>
    <row r="161" ht="12.75">
      <c r="E161" t="b">
        <f>IF(Feats!H$139&gt;7,Feats!A$139&amp;" ("&amp;Feats!D171&amp;")")</f>
        <v>0</v>
      </c>
    </row>
    <row r="162" ht="12.75">
      <c r="E162" t="b">
        <f>IF(Feats!H$139&gt;8,Feats!A$139&amp;" ("&amp;Feats!D172&amp;")")</f>
        <v>0</v>
      </c>
    </row>
    <row r="163" ht="12.75">
      <c r="E163" t="b">
        <f>IF(Feats!H$139&gt;9,Feats!A$139&amp;" ("&amp;Feats!D173&amp;")")</f>
        <v>0</v>
      </c>
    </row>
    <row r="164" ht="12.75">
      <c r="E164" t="b">
        <f>IF(Feats!H$139&gt;10,Feats!A$139&amp;" ("&amp;Feats!D174&amp;")")</f>
        <v>0</v>
      </c>
    </row>
    <row r="165" ht="12.75">
      <c r="E165" t="b">
        <f>IF(Feats!H$139&gt;11,Feats!A$139&amp;" ("&amp;Feats!D175&amp;")")</f>
        <v>0</v>
      </c>
    </row>
    <row r="166" ht="12.75">
      <c r="E166" t="b">
        <f>IF(Feats!H140&gt;0,Feats!A140)</f>
        <v>0</v>
      </c>
    </row>
    <row r="167" ht="12.75">
      <c r="E167" t="b">
        <f>IF(Feats!H$141&gt;0,Feats!A141&amp;" ("&amp;Feats!E164&amp;")")</f>
        <v>0</v>
      </c>
    </row>
    <row r="168" ht="12.75">
      <c r="E168" t="b">
        <f>IF(Feats!H$141&gt;1,Feats!A141&amp;" ("&amp;Feats!E165&amp;")")</f>
        <v>0</v>
      </c>
    </row>
    <row r="169" ht="12.75">
      <c r="E169" t="b">
        <f>IF(Feats!H$141&gt;2,Feats!A141&amp;" ("&amp;Feats!E166&amp;")")</f>
        <v>0</v>
      </c>
    </row>
    <row r="170" ht="12.75">
      <c r="E170" t="b">
        <f>IF(Feats!H$141&gt;3,Feats!A141&amp;" ("&amp;Feats!E167&amp;")")</f>
        <v>0</v>
      </c>
    </row>
    <row r="171" ht="12.75">
      <c r="E171" t="b">
        <f>IF(Feats!H$141&gt;4,Feats!A141&amp;" ("&amp;Feats!E168&amp;")")</f>
        <v>0</v>
      </c>
    </row>
    <row r="172" ht="12.75">
      <c r="E172" t="b">
        <f>IF(Feats!H$141&gt;5,Feats!A141&amp;" ("&amp;Feats!E169&amp;")")</f>
        <v>0</v>
      </c>
    </row>
    <row r="173" ht="12.75">
      <c r="E173" t="b">
        <f>IF(Feats!H$141&gt;6,Feats!A141&amp;" ("&amp;Feats!E170&amp;")")</f>
        <v>0</v>
      </c>
    </row>
    <row r="174" ht="12.75">
      <c r="E174" t="b">
        <f>IF(Feats!H$141&gt;7,Feats!A141&amp;" ("&amp;Feats!E171&amp;")")</f>
        <v>0</v>
      </c>
    </row>
    <row r="175" ht="12.75">
      <c r="E175" t="b">
        <f>IF(Feats!H142&gt;0,Feats!A142&amp;" ("&amp;R24&amp;" spells)")</f>
        <v>0</v>
      </c>
    </row>
    <row r="176" ht="12.75">
      <c r="E176" t="b">
        <f>IF(Feats!H143&gt;0,Feats!A143)</f>
        <v>0</v>
      </c>
    </row>
    <row r="177" ht="12.75">
      <c r="E177" t="b">
        <f>IF(Feats!H144&gt;0,Feats!A144)</f>
        <v>0</v>
      </c>
    </row>
    <row r="178" ht="12.75">
      <c r="E178" t="b">
        <f>IF(Feats!H145&gt;0,Feats!A145)</f>
        <v>0</v>
      </c>
    </row>
    <row r="179" ht="12.75">
      <c r="E179" t="b">
        <f>IF(Feats!H146&gt;0,Feats!A146)</f>
        <v>0</v>
      </c>
    </row>
    <row r="180" ht="12.75">
      <c r="E180" t="b">
        <f>IF(Feats!H147&gt;0,Feats!A147)</f>
        <v>0</v>
      </c>
    </row>
    <row r="181" ht="12.75">
      <c r="E181" t="b">
        <f>IF(Feats!H148&gt;0,Feats!A148)</f>
        <v>0</v>
      </c>
    </row>
    <row r="182" ht="12.75">
      <c r="E182" t="b">
        <f>IF(Feats!H149&gt;0,Feats!A149&amp;IF(Feats!H149&gt;1," ("&amp;Feats!H149&amp;")",""))</f>
        <v>0</v>
      </c>
    </row>
    <row r="183" ht="12.75">
      <c r="E183" t="b">
        <f>IF(Feats!H150&gt;0,Feats!A150)</f>
        <v>0</v>
      </c>
    </row>
    <row r="184" ht="12.75">
      <c r="E184" t="b">
        <f>IF(Feats!H151&gt;0,Feats!A151)</f>
        <v>0</v>
      </c>
    </row>
    <row r="185" ht="12.75">
      <c r="E185" t="b">
        <f>IF(Feats!H152&gt;0,Feats!A152)</f>
        <v>0</v>
      </c>
    </row>
    <row r="186" ht="12.75">
      <c r="E186" t="b">
        <f>IF(Feats!H153&gt;0,Feats!A153)</f>
        <v>0</v>
      </c>
    </row>
    <row r="187" ht="12.75">
      <c r="E187" t="b">
        <f>IF(Feats!H154&gt;0,Feats!A154)</f>
        <v>0</v>
      </c>
    </row>
    <row r="188" ht="12.75">
      <c r="E188" t="b">
        <f>IF(Feats!H155&gt;0,Feats!A155)</f>
        <v>0</v>
      </c>
    </row>
    <row r="189" ht="12.75">
      <c r="E189" t="b">
        <f>IF(Feats!H$156&gt;0,Feats!A$156&amp;" ("&amp;Feats!G164&amp;")")</f>
        <v>0</v>
      </c>
    </row>
    <row r="190" ht="12.75">
      <c r="E190" t="b">
        <f>IF(Feats!H$156&gt;1,Feats!A$156&amp;" ("&amp;Feats!G165&amp;")")</f>
        <v>0</v>
      </c>
    </row>
    <row r="191" ht="12.75">
      <c r="E191" t="b">
        <f>IF(Feats!H$156&gt;2,Feats!A$156&amp;" ("&amp;Feats!G166&amp;")")</f>
        <v>0</v>
      </c>
    </row>
    <row r="192" ht="12.75">
      <c r="E192" t="b">
        <f>IF(Feats!H$156&gt;3,Feats!A$156&amp;" ("&amp;Feats!G167&amp;")")</f>
        <v>0</v>
      </c>
    </row>
    <row r="193" ht="12.75">
      <c r="E193" t="b">
        <f>IF(Feats!H$156&gt;4,Feats!A$156&amp;" ("&amp;Feats!G168&amp;")")</f>
        <v>0</v>
      </c>
    </row>
    <row r="194" ht="12.75">
      <c r="E194" t="b">
        <f>IF(Feats!H$156&gt;5,Feats!A$156&amp;" ("&amp;Feats!G169&amp;")")</f>
        <v>0</v>
      </c>
    </row>
    <row r="195" ht="12.75">
      <c r="E195" t="b">
        <f>IF(Feats!H$156&gt;6,Feats!A$156&amp;" ("&amp;Feats!G170&amp;")")</f>
        <v>0</v>
      </c>
    </row>
    <row r="196" ht="12.75">
      <c r="E196" t="b">
        <f>IF(Feats!H$156&gt;7,Feats!A$156&amp;" ("&amp;Feats!G171&amp;")")</f>
        <v>0</v>
      </c>
    </row>
    <row r="197" ht="12.75">
      <c r="E197" t="b">
        <f>IF(Feats!H$156&gt;8,Feats!A$156&amp;" ("&amp;Feats!G172&amp;")")</f>
        <v>0</v>
      </c>
    </row>
    <row r="198" ht="12.75">
      <c r="E198" t="b">
        <f>IF(Feats!H$156&gt;9,Feats!A$156&amp;" ("&amp;Feats!G173&amp;")")</f>
        <v>0</v>
      </c>
    </row>
    <row r="199" ht="12.75">
      <c r="E199" t="b">
        <f>IF(Feats!H$156&gt;10,Feats!A$156&amp;" ("&amp;Feats!G174&amp;")")</f>
        <v>0</v>
      </c>
    </row>
    <row r="200" ht="12.75">
      <c r="E200" t="b">
        <f>IF(Feats!H$156&gt;11,Feats!A$156&amp;" ("&amp;Feats!G175&amp;")")</f>
        <v>0</v>
      </c>
    </row>
    <row r="201" ht="12.75">
      <c r="E201" t="b">
        <f>IF(Feats!H$157&gt;0,Feats!A$157&amp;" ("&amp;Feats!I164&amp;")")</f>
        <v>0</v>
      </c>
    </row>
    <row r="202" ht="12.75">
      <c r="E202" t="b">
        <f>IF(Feats!H$157&gt;1,Feats!A$157&amp;" ("&amp;Feats!I165&amp;")")</f>
        <v>0</v>
      </c>
    </row>
    <row r="203" ht="12.75">
      <c r="E203" t="b">
        <f>IF(Feats!H$157&gt;2,Feats!A$157&amp;" ("&amp;Feats!I166&amp;")")</f>
        <v>0</v>
      </c>
    </row>
    <row r="204" ht="12.75">
      <c r="E204" t="b">
        <f>IF(Feats!H$157&gt;3,Feats!A$157&amp;" ("&amp;Feats!I167&amp;")")</f>
        <v>0</v>
      </c>
    </row>
    <row r="205" ht="12.75">
      <c r="E205" t="b">
        <f>IF(Feats!H$157&gt;4,Feats!A$157&amp;" ("&amp;Feats!I168&amp;")")</f>
        <v>0</v>
      </c>
    </row>
    <row r="206" ht="12.75">
      <c r="E206" t="b">
        <f>IF(Feats!H$157&gt;5,Feats!A$157&amp;" ("&amp;Feats!I169&amp;")")</f>
        <v>0</v>
      </c>
    </row>
    <row r="207" ht="12.75">
      <c r="E207" t="b">
        <f>IF(Feats!H$157&gt;6,Feats!A$157&amp;" ("&amp;Feats!I170&amp;")")</f>
        <v>0</v>
      </c>
    </row>
    <row r="208" ht="12.75">
      <c r="E208" t="b">
        <f>IF(Feats!H$157&gt;7,Feats!A$157&amp;" ("&amp;Feats!I171&amp;")")</f>
        <v>0</v>
      </c>
    </row>
    <row r="209" ht="12.75">
      <c r="E209" t="b">
        <f>IF(Feats!H$157&gt;8,Feats!A$157&amp;" ("&amp;Feats!I172&amp;")")</f>
        <v>0</v>
      </c>
    </row>
    <row r="210" ht="12.75">
      <c r="E210" t="b">
        <f>IF(Feats!H$157&gt;9,Feats!A$157&amp;" ("&amp;Feats!I173&amp;")")</f>
        <v>0</v>
      </c>
    </row>
    <row r="211" ht="12.75">
      <c r="E211" t="b">
        <f>IF(Feats!H$157&gt;10,Feats!A$157&amp;" ("&amp;Feats!I174&amp;")")</f>
        <v>0</v>
      </c>
    </row>
    <row r="212" ht="12.75">
      <c r="E212" t="b">
        <f>IF(Feats!H$157&gt;11,Feats!A$157&amp;" ("&amp;Feats!I175&amp;")")</f>
        <v>0</v>
      </c>
    </row>
    <row r="213" ht="12.75">
      <c r="E213" t="b">
        <f>IF(Feats!H158&gt;0,Feats!A158)</f>
        <v>0</v>
      </c>
    </row>
    <row r="214" ht="12.75">
      <c r="E214" t="b">
        <f>IF(Feats!H159&gt;0,Feats!A159)</f>
        <v>0</v>
      </c>
    </row>
    <row r="215" ht="12.75">
      <c r="E215" t="b">
        <f>IF(Feats!H$122&gt;0,"["&amp;Feats!M164&amp;"]")</f>
        <v>0</v>
      </c>
    </row>
    <row r="216" ht="12.75">
      <c r="E216" t="b">
        <f>IF(Feats!H$122&gt;1,"["&amp;Feats!M165&amp;"]")</f>
        <v>0</v>
      </c>
    </row>
    <row r="217" ht="12.75">
      <c r="E217" t="b">
        <f>IF(Feats!H$122&gt;2,"["&amp;Feats!M166&amp;"]")</f>
        <v>0</v>
      </c>
    </row>
    <row r="218" ht="12.75">
      <c r="E218" t="b">
        <f>IF(Feats!H$122&gt;3,"["&amp;Feats!M167&amp;"]")</f>
        <v>0</v>
      </c>
    </row>
    <row r="219" ht="12.75">
      <c r="E219" t="b">
        <f>IF(Feats!H$122&gt;4,"["&amp;Feats!M168&amp;"]")</f>
        <v>0</v>
      </c>
    </row>
    <row r="220" ht="12.75">
      <c r="E220" t="b">
        <f>IF(Feats!H$122&gt;5,"["&amp;Feats!M169&amp;"]")</f>
        <v>0</v>
      </c>
    </row>
    <row r="221" ht="12.75">
      <c r="E221" t="b">
        <f>IF(Feats!H$122&gt;6,"["&amp;Feats!M170&amp;"]")</f>
        <v>0</v>
      </c>
    </row>
    <row r="222" ht="12.75">
      <c r="E222" t="b">
        <f>IF(Feats!H$122&gt;7,"["&amp;Feats!M171&amp;"]")</f>
        <v>0</v>
      </c>
    </row>
    <row r="223" ht="12.75">
      <c r="E223" t="b">
        <f>IF(Feats!H$122&gt;8,"["&amp;Feats!M172&amp;"]")</f>
        <v>0</v>
      </c>
    </row>
    <row r="224" ht="12.75">
      <c r="E224" t="b">
        <f>IF(Feats!H$122&gt;9,"["&amp;Feats!M173&amp;"]")</f>
        <v>0</v>
      </c>
    </row>
    <row r="225" ht="12.75">
      <c r="E225" t="b">
        <f>IF(Feats!H$122&gt;10,"["&amp;Feats!M174&amp;"]")</f>
        <v>0</v>
      </c>
    </row>
    <row r="226" ht="12.75">
      <c r="E226" t="b">
        <f>IF(Feats!H$122&gt;11,"["&amp;Feats!M175&amp;"]")</f>
        <v>0</v>
      </c>
    </row>
  </sheetData>
  <sheetProtection sheet="1" objects="1" scenarios="1"/>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G51"/>
  <sheetViews>
    <sheetView workbookViewId="0" topLeftCell="A1">
      <pane xSplit="6" topLeftCell="G1" activePane="topRight" state="frozen"/>
      <selection pane="topLeft" activeCell="A1" sqref="A1"/>
      <selection pane="topRight" activeCell="A1" sqref="A1"/>
    </sheetView>
  </sheetViews>
  <sheetFormatPr defaultColWidth="9.140625" defaultRowHeight="12.75"/>
  <cols>
    <col min="1" max="16384" width="9.140625" style="20" customWidth="1"/>
  </cols>
  <sheetData>
    <row r="1" spans="1:6" ht="12.75">
      <c r="A1" s="7" t="s">
        <v>0</v>
      </c>
      <c r="B1" s="10" t="s">
        <v>1</v>
      </c>
      <c r="C1" s="104" t="s">
        <v>450</v>
      </c>
      <c r="D1" s="102"/>
      <c r="E1" s="102"/>
      <c r="F1" s="102"/>
    </row>
    <row r="2" spans="1:6" ht="12.75">
      <c r="A2" s="5" t="s">
        <v>2</v>
      </c>
      <c r="B2" s="6" t="s">
        <v>3</v>
      </c>
      <c r="C2" s="100" t="s">
        <v>122</v>
      </c>
      <c r="D2" s="101"/>
      <c r="E2" s="101"/>
      <c r="F2" s="101"/>
    </row>
    <row r="3" spans="1:57" ht="12.75">
      <c r="A3" s="112" t="s">
        <v>4</v>
      </c>
      <c r="B3" s="113"/>
      <c r="C3" s="100" t="s">
        <v>891</v>
      </c>
      <c r="D3" s="101"/>
      <c r="E3" s="101"/>
      <c r="F3" s="101"/>
      <c r="G3" s="23"/>
      <c r="H3" s="23"/>
      <c r="I3" s="23"/>
      <c r="J3" s="23"/>
      <c r="K3" s="23"/>
      <c r="L3" s="23"/>
      <c r="M3" s="23"/>
      <c r="N3" s="23"/>
      <c r="O3" s="23"/>
      <c r="P3" s="23"/>
      <c r="Q3" s="23"/>
      <c r="R3" s="23"/>
      <c r="S3" s="23"/>
      <c r="T3" s="23"/>
      <c r="U3" s="23"/>
      <c r="V3" s="23"/>
      <c r="W3" s="23"/>
      <c r="X3" s="23"/>
      <c r="Y3" s="23"/>
      <c r="Z3" s="23"/>
      <c r="AA3" s="23"/>
      <c r="AB3" s="91" t="s">
        <v>127</v>
      </c>
      <c r="AC3" s="91" t="s">
        <v>128</v>
      </c>
      <c r="AD3" s="23"/>
      <c r="AE3" s="23"/>
      <c r="AF3" s="23"/>
      <c r="AG3" s="23"/>
      <c r="AH3" s="91" t="s">
        <v>129</v>
      </c>
      <c r="AI3" s="23"/>
      <c r="AJ3" s="23"/>
      <c r="AK3" s="23"/>
      <c r="AL3" s="23"/>
      <c r="AM3" s="23"/>
      <c r="AN3" s="23"/>
      <c r="AO3" s="23"/>
      <c r="AP3" s="23"/>
      <c r="AQ3" s="23"/>
      <c r="AR3" s="23"/>
      <c r="AS3" s="23"/>
      <c r="AT3" s="23"/>
      <c r="AU3" s="23"/>
      <c r="AV3" s="23"/>
      <c r="AW3" s="23"/>
      <c r="AX3" s="23"/>
      <c r="AY3" s="23"/>
      <c r="AZ3" s="23"/>
      <c r="BA3" s="23"/>
      <c r="BB3" s="23"/>
      <c r="BC3" s="23"/>
      <c r="BD3" s="23"/>
      <c r="BE3" s="23"/>
    </row>
    <row r="4" spans="4:59" ht="12.75">
      <c r="D4" s="127" t="s">
        <v>57</v>
      </c>
      <c r="E4" s="128"/>
      <c r="F4" s="129"/>
      <c r="G4" s="96" t="s">
        <v>130</v>
      </c>
      <c r="H4" s="96" t="s">
        <v>131</v>
      </c>
      <c r="I4" s="96" t="s">
        <v>132</v>
      </c>
      <c r="J4" s="96" t="s">
        <v>133</v>
      </c>
      <c r="K4" s="98" t="s">
        <v>134</v>
      </c>
      <c r="L4" s="25" t="s">
        <v>135</v>
      </c>
      <c r="M4" s="25" t="s">
        <v>135</v>
      </c>
      <c r="N4" s="25" t="s">
        <v>135</v>
      </c>
      <c r="O4" s="98" t="s">
        <v>136</v>
      </c>
      <c r="P4" s="98" t="s">
        <v>137</v>
      </c>
      <c r="Q4" s="98" t="s">
        <v>138</v>
      </c>
      <c r="R4" s="96" t="s">
        <v>139</v>
      </c>
      <c r="S4" s="98" t="s">
        <v>140</v>
      </c>
      <c r="T4" s="96" t="s">
        <v>141</v>
      </c>
      <c r="U4" s="98" t="s">
        <v>142</v>
      </c>
      <c r="V4" s="98" t="s">
        <v>143</v>
      </c>
      <c r="W4" s="96" t="s">
        <v>144</v>
      </c>
      <c r="X4" s="96" t="s">
        <v>145</v>
      </c>
      <c r="Y4" s="98" t="s">
        <v>146</v>
      </c>
      <c r="Z4" s="96" t="s">
        <v>147</v>
      </c>
      <c r="AA4" s="91" t="s">
        <v>148</v>
      </c>
      <c r="AB4" s="92"/>
      <c r="AC4" s="93"/>
      <c r="AD4" s="91" t="s">
        <v>149</v>
      </c>
      <c r="AE4" s="91" t="s">
        <v>150</v>
      </c>
      <c r="AF4" s="91" t="s">
        <v>151</v>
      </c>
      <c r="AG4" s="91" t="s">
        <v>152</v>
      </c>
      <c r="AH4" s="97"/>
      <c r="AI4" s="91" t="s">
        <v>153</v>
      </c>
      <c r="AJ4" s="91" t="s">
        <v>154</v>
      </c>
      <c r="AK4" s="24" t="s">
        <v>172</v>
      </c>
      <c r="AL4" s="96" t="s">
        <v>155</v>
      </c>
      <c r="AM4" s="98" t="s">
        <v>156</v>
      </c>
      <c r="AN4" s="98" t="s">
        <v>157</v>
      </c>
      <c r="AO4" s="25" t="s">
        <v>158</v>
      </c>
      <c r="AP4" s="25" t="s">
        <v>158</v>
      </c>
      <c r="AQ4" s="25" t="s">
        <v>158</v>
      </c>
      <c r="AR4" s="24" t="s">
        <v>159</v>
      </c>
      <c r="AS4" s="24" t="s">
        <v>159</v>
      </c>
      <c r="AT4" s="96" t="s">
        <v>160</v>
      </c>
      <c r="AU4" s="96" t="s">
        <v>161</v>
      </c>
      <c r="AV4" s="98" t="s">
        <v>162</v>
      </c>
      <c r="AW4" s="98" t="s">
        <v>163</v>
      </c>
      <c r="AX4" s="99" t="s">
        <v>164</v>
      </c>
      <c r="AY4" s="90" t="s">
        <v>165</v>
      </c>
      <c r="AZ4" s="96" t="s">
        <v>166</v>
      </c>
      <c r="BA4" s="96" t="s">
        <v>167</v>
      </c>
      <c r="BB4" s="96" t="s">
        <v>168</v>
      </c>
      <c r="BC4" s="96" t="s">
        <v>169</v>
      </c>
      <c r="BD4" s="99" t="s">
        <v>170</v>
      </c>
      <c r="BE4" s="98" t="s">
        <v>171</v>
      </c>
      <c r="BF4" s="12" t="s">
        <v>173</v>
      </c>
      <c r="BG4" s="12" t="s">
        <v>892</v>
      </c>
    </row>
    <row r="5" spans="1:59" ht="12.75">
      <c r="A5" s="108" t="s">
        <v>50</v>
      </c>
      <c r="B5" s="108"/>
      <c r="C5" s="12" t="s">
        <v>449</v>
      </c>
      <c r="D5" s="31" t="s">
        <v>119</v>
      </c>
      <c r="E5" s="14" t="s">
        <v>120</v>
      </c>
      <c r="F5" s="32" t="s">
        <v>121</v>
      </c>
      <c r="G5" s="96"/>
      <c r="H5" s="97"/>
      <c r="I5" s="97"/>
      <c r="J5" s="97"/>
      <c r="K5" s="97"/>
      <c r="L5" s="30"/>
      <c r="M5" s="30"/>
      <c r="N5" s="30"/>
      <c r="O5" s="97"/>
      <c r="P5" s="97"/>
      <c r="Q5" s="97"/>
      <c r="R5" s="97"/>
      <c r="S5" s="97"/>
      <c r="T5" s="97"/>
      <c r="U5" s="97"/>
      <c r="V5" s="97"/>
      <c r="W5" s="97"/>
      <c r="X5" s="97"/>
      <c r="Y5" s="97"/>
      <c r="Z5" s="97"/>
      <c r="AA5" s="92"/>
      <c r="AB5" s="92"/>
      <c r="AC5" s="93"/>
      <c r="AD5" s="97"/>
      <c r="AE5" s="97"/>
      <c r="AF5" s="97"/>
      <c r="AG5" s="92"/>
      <c r="AH5" s="97"/>
      <c r="AI5" s="97"/>
      <c r="AJ5" s="97"/>
      <c r="AK5" s="30"/>
      <c r="AL5" s="97"/>
      <c r="AM5" s="97"/>
      <c r="AN5" s="97"/>
      <c r="AO5" s="30"/>
      <c r="AP5" s="30"/>
      <c r="AQ5" s="30"/>
      <c r="AR5" s="30"/>
      <c r="AS5" s="30"/>
      <c r="AT5" s="97"/>
      <c r="AU5" s="97"/>
      <c r="AV5" s="97"/>
      <c r="AW5" s="97"/>
      <c r="AX5" s="89"/>
      <c r="AY5" s="89"/>
      <c r="AZ5" s="97"/>
      <c r="BA5" s="97"/>
      <c r="BB5" s="97"/>
      <c r="BC5" s="97"/>
      <c r="BD5" s="97"/>
      <c r="BE5" s="97"/>
      <c r="BF5" s="27"/>
      <c r="BG5" s="26"/>
    </row>
    <row r="6" spans="1:59" ht="12.75">
      <c r="A6" s="126">
        <f>IF(ISBLANK(Begin!G12),"",Begin!G12)</f>
      </c>
      <c r="B6" s="126"/>
      <c r="C6" s="85"/>
      <c r="D6" s="29">
        <f>4*IF(ISBLANK(Begin!G12),0,MAX(1,IF(ISBLANK(Skills!C6),IntMod,ROUND((Skills!C6-10.5)/2,0))+LOOKUP(Skills!A6,Classes,Classes!I$3:I$18))+IF(Race="Human",1,0))</f>
        <v>0</v>
      </c>
      <c r="E6" s="29">
        <f>SUM(G6:BG6)</f>
        <v>0</v>
      </c>
      <c r="F6" s="29">
        <f>D6-E6</f>
        <v>0</v>
      </c>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41"/>
    </row>
    <row r="7" spans="1:59" ht="12.75">
      <c r="A7" s="94">
        <f>IF(ISBLANK(Begin!G13),"",Begin!G13)</f>
      </c>
      <c r="B7" s="95"/>
      <c r="C7" s="86"/>
      <c r="D7" s="29">
        <f>IF(ISBLANK(Begin!G13),0,MAX(1,IF(ISBLANK(Skills!C7),IntMod,ROUND((Skills!C7-10.5)/2,0))+LOOKUP(Skills!A7,Classes,Classes!I$3:I$18))+IF(Race="Human",1,0))</f>
        <v>0</v>
      </c>
      <c r="E7" s="29">
        <f aca="true" t="shared" si="0" ref="E7:E25">SUM(G7:BG7)</f>
        <v>0</v>
      </c>
      <c r="F7" s="29">
        <f aca="true" t="shared" si="1" ref="F7:F25">D7-E7</f>
        <v>0</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41"/>
    </row>
    <row r="8" spans="1:59" ht="12.75">
      <c r="A8" s="94">
        <f>IF(ISBLANK(Begin!G14),"",Begin!G14)</f>
      </c>
      <c r="B8" s="95"/>
      <c r="C8" s="86"/>
      <c r="D8" s="29">
        <f>IF(ISBLANK(Begin!G14),0,MAX(1,IF(ISBLANK(Skills!C8),IntMod,ROUND((Skills!C8-10.5)/2,0))+LOOKUP(Skills!A8,Classes,Classes!I$3:I$18))+IF(Race="Human",1,0))</f>
        <v>0</v>
      </c>
      <c r="E8" s="29">
        <f t="shared" si="0"/>
        <v>0</v>
      </c>
      <c r="F8" s="29">
        <f t="shared" si="1"/>
        <v>0</v>
      </c>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41"/>
    </row>
    <row r="9" spans="1:59" ht="12.75">
      <c r="A9" s="94">
        <f>IF(ISBLANK(Begin!G15),"",Begin!G15)</f>
      </c>
      <c r="B9" s="95"/>
      <c r="C9" s="86"/>
      <c r="D9" s="29">
        <f>IF(ISBLANK(Begin!G15),0,MAX(1,IF(ISBLANK(Skills!C9),IntMod,ROUND((Skills!C9-10.5)/2,0))+LOOKUP(Skills!A9,Classes,Classes!I$3:I$18))+IF(Race="Human",1,0))</f>
        <v>0</v>
      </c>
      <c r="E9" s="29">
        <f t="shared" si="0"/>
        <v>0</v>
      </c>
      <c r="F9" s="29">
        <f t="shared" si="1"/>
        <v>0</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41"/>
    </row>
    <row r="10" spans="1:59" ht="12.75">
      <c r="A10" s="94">
        <f>IF(ISBLANK(Begin!G16),"",Begin!G16)</f>
      </c>
      <c r="B10" s="95"/>
      <c r="C10" s="86"/>
      <c r="D10" s="29">
        <f>IF(ISBLANK(Begin!G16),0,MAX(1,IF(ISBLANK(Skills!C10),IntMod,ROUND((Skills!C10-10.5)/2,0))+LOOKUP(Skills!A10,Classes,Classes!I$3:I$18))+IF(Race="Human",1,0))</f>
        <v>0</v>
      </c>
      <c r="E10" s="29">
        <f t="shared" si="0"/>
        <v>0</v>
      </c>
      <c r="F10" s="29">
        <f t="shared" si="1"/>
        <v>0</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41"/>
    </row>
    <row r="11" spans="1:59" ht="12.75">
      <c r="A11" s="94">
        <f>IF(ISBLANK(Begin!G17),"",Begin!G17)</f>
      </c>
      <c r="B11" s="95"/>
      <c r="C11" s="86"/>
      <c r="D11" s="29">
        <f>IF(ISBLANK(Begin!G17),0,MAX(1,IF(ISBLANK(Skills!C11),IntMod,ROUND((Skills!C11-10.5)/2,0))+LOOKUP(Skills!A11,Classes,Classes!I$3:I$18))+IF(Race="Human",1,0))</f>
        <v>0</v>
      </c>
      <c r="E11" s="29">
        <f t="shared" si="0"/>
        <v>0</v>
      </c>
      <c r="F11" s="29">
        <f t="shared" si="1"/>
        <v>0</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41"/>
    </row>
    <row r="12" spans="1:59" ht="12.75">
      <c r="A12" s="94">
        <f>IF(ISBLANK(Begin!G18),"",Begin!G18)</f>
      </c>
      <c r="B12" s="95"/>
      <c r="C12" s="86"/>
      <c r="D12" s="29">
        <f>IF(ISBLANK(Begin!G18),0,MAX(1,IF(ISBLANK(Skills!C12),IntMod,ROUND((Skills!C12-10.5)/2,0))+LOOKUP(Skills!A12,Classes,Classes!I$3:I$18))+IF(Race="Human",1,0))</f>
        <v>0</v>
      </c>
      <c r="E12" s="29">
        <f t="shared" si="0"/>
        <v>0</v>
      </c>
      <c r="F12" s="29">
        <f t="shared" si="1"/>
        <v>0</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41"/>
    </row>
    <row r="13" spans="1:59" ht="12.75">
      <c r="A13" s="94">
        <f>IF(ISBLANK(Begin!G19),"",Begin!G19)</f>
      </c>
      <c r="B13" s="95"/>
      <c r="C13" s="86"/>
      <c r="D13" s="29">
        <f>IF(ISBLANK(Begin!G19),0,MAX(1,IF(ISBLANK(Skills!C13),IntMod,ROUND((Skills!C13-10.5)/2,0))+LOOKUP(Skills!A13,Classes,Classes!I$3:I$18))+IF(Race="Human",1,0))</f>
        <v>0</v>
      </c>
      <c r="E13" s="29">
        <f t="shared" si="0"/>
        <v>0</v>
      </c>
      <c r="F13" s="29">
        <f t="shared" si="1"/>
        <v>0</v>
      </c>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41"/>
    </row>
    <row r="14" spans="1:59" ht="12.75">
      <c r="A14" s="94">
        <f>IF(ISBLANK(Begin!G20),"",Begin!G20)</f>
      </c>
      <c r="B14" s="95"/>
      <c r="C14" s="86"/>
      <c r="D14" s="29">
        <f>IF(ISBLANK(Begin!G20),0,MAX(1,IF(ISBLANK(Skills!C14),IntMod,ROUND((Skills!C14-10.5)/2,0))+LOOKUP(Skills!A14,Classes,Classes!I$3:I$18))+IF(Race="Human",1,0))</f>
        <v>0</v>
      </c>
      <c r="E14" s="29">
        <f t="shared" si="0"/>
        <v>0</v>
      </c>
      <c r="F14" s="29">
        <f t="shared" si="1"/>
        <v>0</v>
      </c>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41"/>
    </row>
    <row r="15" spans="1:59" ht="12.75">
      <c r="A15" s="94">
        <f>IF(ISBLANK(Begin!G21),"",Begin!G21)</f>
      </c>
      <c r="B15" s="95"/>
      <c r="C15" s="86"/>
      <c r="D15" s="29">
        <f>IF(ISBLANK(Begin!G21),0,MAX(1,IF(ISBLANK(Skills!C15),IntMod,ROUND((Skills!C15-10.5)/2,0))+LOOKUP(Skills!A15,Classes,Classes!I$3:I$18))+IF(Race="Human",1,0))</f>
        <v>0</v>
      </c>
      <c r="E15" s="29">
        <f aca="true" t="shared" si="2" ref="E15:E24">SUM(G15:BG15)</f>
        <v>0</v>
      </c>
      <c r="F15" s="29">
        <f aca="true" t="shared" si="3" ref="F15:F24">D15-E15</f>
        <v>0</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41"/>
    </row>
    <row r="16" spans="1:59" ht="12.75">
      <c r="A16" s="94">
        <f>IF(ISBLANK(Begin!G22),"",Begin!G22)</f>
      </c>
      <c r="B16" s="95"/>
      <c r="C16" s="86"/>
      <c r="D16" s="29">
        <f>IF(ISBLANK(Begin!G22),0,MAX(1,IF(ISBLANK(Skills!C16),IntMod,ROUND((Skills!C16-10.5)/2,0))+LOOKUP(Skills!A16,Classes,Classes!I$3:I$18))+IF(Race="Human",1,0))</f>
        <v>0</v>
      </c>
      <c r="E16" s="29">
        <f t="shared" si="2"/>
        <v>0</v>
      </c>
      <c r="F16" s="29">
        <f t="shared" si="3"/>
        <v>0</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41"/>
    </row>
    <row r="17" spans="1:59" ht="12.75">
      <c r="A17" s="94">
        <f>IF(ISBLANK(Begin!G23),"",Begin!G23)</f>
      </c>
      <c r="B17" s="95"/>
      <c r="C17" s="86"/>
      <c r="D17" s="29">
        <f>IF(ISBLANK(Begin!G23),0,MAX(1,IF(ISBLANK(Skills!C17),IntMod,ROUND((Skills!C17-10.5)/2,0))+LOOKUP(Skills!A17,Classes,Classes!I$3:I$18))+IF(Race="Human",1,0))</f>
        <v>0</v>
      </c>
      <c r="E17" s="29">
        <f t="shared" si="2"/>
        <v>0</v>
      </c>
      <c r="F17" s="29">
        <f t="shared" si="3"/>
        <v>0</v>
      </c>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41"/>
    </row>
    <row r="18" spans="1:59" ht="12.75">
      <c r="A18" s="94">
        <f>IF(ISBLANK(Begin!G24),"",Begin!G24)</f>
      </c>
      <c r="B18" s="95"/>
      <c r="C18" s="86"/>
      <c r="D18" s="29">
        <f>IF(ISBLANK(Begin!G24),0,MAX(1,IF(ISBLANK(Skills!C18),IntMod,ROUND((Skills!C18-10.5)/2,0))+LOOKUP(Skills!A18,Classes,Classes!I$3:I$18))+IF(Race="Human",1,0))</f>
        <v>0</v>
      </c>
      <c r="E18" s="29">
        <f t="shared" si="2"/>
        <v>0</v>
      </c>
      <c r="F18" s="29">
        <f t="shared" si="3"/>
        <v>0</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41"/>
    </row>
    <row r="19" spans="1:59" ht="12.75">
      <c r="A19" s="94">
        <f>IF(ISBLANK(Begin!G25),"",Begin!G25)</f>
      </c>
      <c r="B19" s="95"/>
      <c r="C19" s="86"/>
      <c r="D19" s="29">
        <f>IF(ISBLANK(Begin!G25),0,MAX(1,IF(ISBLANK(Skills!C19),IntMod,ROUND((Skills!C19-10.5)/2,0))+LOOKUP(Skills!A19,Classes,Classes!I$3:I$18))+IF(Race="Human",1,0))</f>
        <v>0</v>
      </c>
      <c r="E19" s="29">
        <f t="shared" si="2"/>
        <v>0</v>
      </c>
      <c r="F19" s="29">
        <f t="shared" si="3"/>
        <v>0</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41"/>
    </row>
    <row r="20" spans="1:59" ht="12.75">
      <c r="A20" s="94">
        <f>IF(ISBLANK(Begin!G26),"",Begin!G26)</f>
      </c>
      <c r="B20" s="95"/>
      <c r="C20" s="86"/>
      <c r="D20" s="29">
        <f>IF(ISBLANK(Begin!G26),0,MAX(1,IF(ISBLANK(Skills!C20),IntMod,ROUND((Skills!C20-10.5)/2,0))+LOOKUP(Skills!A20,Classes,Classes!I$3:I$18))+IF(Race="Human",1,0))</f>
        <v>0</v>
      </c>
      <c r="E20" s="29">
        <f t="shared" si="2"/>
        <v>0</v>
      </c>
      <c r="F20" s="29">
        <f t="shared" si="3"/>
        <v>0</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41"/>
    </row>
    <row r="21" spans="1:59" ht="12.75">
      <c r="A21" s="94">
        <f>IF(ISBLANK(Begin!G27),"",Begin!G27)</f>
      </c>
      <c r="B21" s="95"/>
      <c r="C21" s="86"/>
      <c r="D21" s="29">
        <f>IF(ISBLANK(Begin!G27),0,MAX(1,IF(ISBLANK(Skills!C21),IntMod,ROUND((Skills!C21-10.5)/2,0))+LOOKUP(Skills!A21,Classes,Classes!I$3:I$18))+IF(Race="Human",1,0))</f>
        <v>0</v>
      </c>
      <c r="E21" s="29">
        <f t="shared" si="2"/>
        <v>0</v>
      </c>
      <c r="F21" s="29">
        <f t="shared" si="3"/>
        <v>0</v>
      </c>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41"/>
    </row>
    <row r="22" spans="1:59" ht="12.75">
      <c r="A22" s="94">
        <f>IF(ISBLANK(Begin!G28),"",Begin!G28)</f>
      </c>
      <c r="B22" s="95"/>
      <c r="C22" s="86"/>
      <c r="D22" s="29">
        <f>IF(ISBLANK(Begin!G28),0,MAX(1,IF(ISBLANK(Skills!C22),IntMod,ROUND((Skills!C22-10.5)/2,0))+LOOKUP(Skills!A22,Classes,Classes!I$3:I$18))+IF(Race="Human",1,0))</f>
        <v>0</v>
      </c>
      <c r="E22" s="29">
        <f t="shared" si="2"/>
        <v>0</v>
      </c>
      <c r="F22" s="29">
        <f t="shared" si="3"/>
        <v>0</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41"/>
    </row>
    <row r="23" spans="1:59" ht="12.75">
      <c r="A23" s="94">
        <f>IF(ISBLANK(Begin!G29),"",Begin!G29)</f>
      </c>
      <c r="B23" s="95"/>
      <c r="C23" s="86"/>
      <c r="D23" s="29">
        <f>IF(ISBLANK(Begin!G29),0,MAX(1,IF(ISBLANK(Skills!C23),IntMod,ROUND((Skills!C23-10.5)/2,0))+LOOKUP(Skills!A23,Classes,Classes!I$3:I$18))+IF(Race="Human",1,0))</f>
        <v>0</v>
      </c>
      <c r="E23" s="29">
        <f t="shared" si="2"/>
        <v>0</v>
      </c>
      <c r="F23" s="29">
        <f t="shared" si="3"/>
        <v>0</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41"/>
    </row>
    <row r="24" spans="1:59" ht="12.75">
      <c r="A24" s="94">
        <f>IF(ISBLANK(Begin!G30),"",Begin!G30)</f>
      </c>
      <c r="B24" s="95"/>
      <c r="C24" s="86"/>
      <c r="D24" s="29">
        <f>IF(ISBLANK(Begin!G30),0,MAX(1,IF(ISBLANK(Skills!C24),IntMod,ROUND((Skills!C24-10.5)/2,0))+LOOKUP(Skills!A24,Classes,Classes!I$3:I$18))+IF(Race="Human",1,0))</f>
        <v>0</v>
      </c>
      <c r="E24" s="29">
        <f t="shared" si="2"/>
        <v>0</v>
      </c>
      <c r="F24" s="29">
        <f t="shared" si="3"/>
        <v>0</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41"/>
    </row>
    <row r="25" spans="1:59" ht="12.75">
      <c r="A25" s="94">
        <f>IF(ISBLANK(Begin!G31),"",Begin!G31)</f>
      </c>
      <c r="B25" s="95"/>
      <c r="C25" s="87"/>
      <c r="D25" s="29">
        <f>IF(ISBLANK(Begin!G31),0,MAX(1,IF(ISBLANK(Skills!C25),IntMod,ROUND((Skills!C25-10.5)/2,0))+LOOKUP(Skills!A25,Classes,Classes!I$3:I$18))+IF(Race="Human",1,0))</f>
        <v>0</v>
      </c>
      <c r="E25" s="29">
        <f t="shared" si="0"/>
        <v>0</v>
      </c>
      <c r="F25" s="29">
        <f t="shared" si="1"/>
        <v>0</v>
      </c>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41"/>
    </row>
    <row r="26" spans="1:59" ht="12.75">
      <c r="A26" s="123" t="s">
        <v>896</v>
      </c>
      <c r="B26" s="123"/>
      <c r="C26" s="123"/>
      <c r="D26" s="75"/>
      <c r="E26" s="76"/>
      <c r="F26" s="76"/>
      <c r="G26" s="88">
        <f>SUMIF(G31:G50,TRUE,G6:G25)+0.5*SUMIF(G31:G50,FALSE,G6:G25)</f>
        <v>0</v>
      </c>
      <c r="H26" s="88">
        <f aca="true" t="shared" si="4" ref="H26:BF26">SUMIF(H31:H50,TRUE,H6:H25)+0.5*SUMIF(H31:H50,FALSE,H6:H25)</f>
        <v>0</v>
      </c>
      <c r="I26" s="88">
        <f t="shared" si="4"/>
        <v>0</v>
      </c>
      <c r="J26" s="88">
        <f t="shared" si="4"/>
        <v>0</v>
      </c>
      <c r="K26" s="88">
        <f t="shared" si="4"/>
        <v>0</v>
      </c>
      <c r="L26" s="88">
        <f t="shared" si="4"/>
        <v>0</v>
      </c>
      <c r="M26" s="88">
        <f t="shared" si="4"/>
        <v>0</v>
      </c>
      <c r="N26" s="88">
        <f t="shared" si="4"/>
        <v>0</v>
      </c>
      <c r="O26" s="88">
        <f t="shared" si="4"/>
        <v>0</v>
      </c>
      <c r="P26" s="88">
        <f t="shared" si="4"/>
        <v>0</v>
      </c>
      <c r="Q26" s="88">
        <f t="shared" si="4"/>
        <v>0</v>
      </c>
      <c r="R26" s="88">
        <f t="shared" si="4"/>
        <v>0</v>
      </c>
      <c r="S26" s="88">
        <f t="shared" si="4"/>
        <v>0</v>
      </c>
      <c r="T26" s="88">
        <f t="shared" si="4"/>
        <v>0</v>
      </c>
      <c r="U26" s="88">
        <f t="shared" si="4"/>
        <v>0</v>
      </c>
      <c r="V26" s="88">
        <f t="shared" si="4"/>
        <v>0</v>
      </c>
      <c r="W26" s="88">
        <f t="shared" si="4"/>
        <v>0</v>
      </c>
      <c r="X26" s="88">
        <f t="shared" si="4"/>
        <v>0</v>
      </c>
      <c r="Y26" s="88">
        <f t="shared" si="4"/>
        <v>0</v>
      </c>
      <c r="Z26" s="88">
        <f t="shared" si="4"/>
        <v>0</v>
      </c>
      <c r="AA26" s="88">
        <f t="shared" si="4"/>
        <v>0</v>
      </c>
      <c r="AB26" s="88">
        <f t="shared" si="4"/>
        <v>0</v>
      </c>
      <c r="AC26" s="88">
        <f t="shared" si="4"/>
        <v>0</v>
      </c>
      <c r="AD26" s="88">
        <f t="shared" si="4"/>
        <v>0</v>
      </c>
      <c r="AE26" s="88">
        <f t="shared" si="4"/>
        <v>0</v>
      </c>
      <c r="AF26" s="88">
        <f t="shared" si="4"/>
        <v>0</v>
      </c>
      <c r="AG26" s="88">
        <f t="shared" si="4"/>
        <v>0</v>
      </c>
      <c r="AH26" s="88">
        <f t="shared" si="4"/>
        <v>0</v>
      </c>
      <c r="AI26" s="88">
        <f t="shared" si="4"/>
        <v>0</v>
      </c>
      <c r="AJ26" s="88">
        <f t="shared" si="4"/>
        <v>0</v>
      </c>
      <c r="AK26" s="88">
        <f t="shared" si="4"/>
        <v>0</v>
      </c>
      <c r="AL26" s="88">
        <f t="shared" si="4"/>
        <v>0</v>
      </c>
      <c r="AM26" s="88">
        <f t="shared" si="4"/>
        <v>0</v>
      </c>
      <c r="AN26" s="88">
        <f t="shared" si="4"/>
        <v>0</v>
      </c>
      <c r="AO26" s="88">
        <f t="shared" si="4"/>
        <v>0</v>
      </c>
      <c r="AP26" s="88">
        <f t="shared" si="4"/>
        <v>0</v>
      </c>
      <c r="AQ26" s="88">
        <f t="shared" si="4"/>
        <v>0</v>
      </c>
      <c r="AR26" s="88">
        <f t="shared" si="4"/>
        <v>0</v>
      </c>
      <c r="AS26" s="88">
        <f t="shared" si="4"/>
        <v>0</v>
      </c>
      <c r="AT26" s="88">
        <f t="shared" si="4"/>
        <v>0</v>
      </c>
      <c r="AU26" s="88">
        <f t="shared" si="4"/>
        <v>0</v>
      </c>
      <c r="AV26" s="88">
        <f t="shared" si="4"/>
        <v>0</v>
      </c>
      <c r="AW26" s="88">
        <f t="shared" si="4"/>
        <v>0</v>
      </c>
      <c r="AX26" s="88">
        <f t="shared" si="4"/>
        <v>0</v>
      </c>
      <c r="AY26" s="88">
        <f t="shared" si="4"/>
        <v>0</v>
      </c>
      <c r="AZ26" s="88">
        <f t="shared" si="4"/>
        <v>0</v>
      </c>
      <c r="BA26" s="88">
        <f t="shared" si="4"/>
        <v>0</v>
      </c>
      <c r="BB26" s="88">
        <f t="shared" si="4"/>
        <v>0</v>
      </c>
      <c r="BC26" s="88">
        <f t="shared" si="4"/>
        <v>0</v>
      </c>
      <c r="BD26" s="88">
        <f t="shared" si="4"/>
        <v>0</v>
      </c>
      <c r="BE26" s="88">
        <f t="shared" si="4"/>
        <v>0</v>
      </c>
      <c r="BF26" s="88">
        <f t="shared" si="4"/>
        <v>0</v>
      </c>
      <c r="BG26" s="77"/>
    </row>
    <row r="27" spans="1:58" ht="12.75">
      <c r="A27" s="125" t="s">
        <v>190</v>
      </c>
      <c r="B27" s="125"/>
      <c r="C27" s="50"/>
      <c r="E27" s="124" t="s">
        <v>189</v>
      </c>
      <c r="F27" s="124"/>
      <c r="G27" s="20">
        <f>MIN(G26,$C$28*IF(Classes!K20,1,0.5))</f>
        <v>0</v>
      </c>
      <c r="H27" s="20">
        <f>MIN(H26,$C$28*IF(Classes!L20,1,0.5))</f>
        <v>0</v>
      </c>
      <c r="I27" s="20">
        <f>MIN(I26,$C$28*IF(Classes!M20,1,0.5))</f>
        <v>0</v>
      </c>
      <c r="J27" s="20">
        <f>MIN(J26,$C$28*IF(Classes!N20,1,0.5))</f>
        <v>0</v>
      </c>
      <c r="K27" s="20">
        <f>MIN(K26,$C$28*IF(Classes!O20,1,0.5))</f>
        <v>0</v>
      </c>
      <c r="L27" s="20">
        <f>MIN(L26,$C$28*IF(Classes!P20,1,0.5))</f>
        <v>0</v>
      </c>
      <c r="M27" s="20">
        <f>MIN(M26,$C$28*IF(Classes!Q20,1,0.5))</f>
        <v>0</v>
      </c>
      <c r="N27" s="20">
        <f>MIN(N26,$C$28*IF(Classes!R20,1,0.5))</f>
        <v>0</v>
      </c>
      <c r="O27" s="20">
        <f>MIN(O26,$C$28*IF(Classes!S20,1,0.5))</f>
        <v>0</v>
      </c>
      <c r="P27" s="20">
        <f>MIN(P26,$C$28*IF(Classes!T20,1,0.5))</f>
        <v>0</v>
      </c>
      <c r="Q27" s="20">
        <f>MIN(Q26,$C$28*IF(Classes!U20,1,0.5))</f>
        <v>0</v>
      </c>
      <c r="R27" s="20">
        <f>MIN(R26,$C$28*IF(Classes!V20,1,0.5))</f>
        <v>0</v>
      </c>
      <c r="S27" s="20">
        <f>MIN(S26,$C$28*IF(Classes!W20,1,0.5))</f>
        <v>0</v>
      </c>
      <c r="T27" s="20">
        <f>MIN(T26,$C$28*IF(Classes!X20,1,0.5))</f>
        <v>0</v>
      </c>
      <c r="U27" s="20">
        <f>MIN(U26,$C$28*IF(Classes!Y20,1,0.5))</f>
        <v>0</v>
      </c>
      <c r="V27" s="20">
        <f>MIN(V26,$C$28*IF(Classes!Z20,1,0.5))</f>
        <v>0</v>
      </c>
      <c r="W27" s="20">
        <f>MIN(W26,$C$28*IF(Classes!AA20,1,0.5))</f>
        <v>0</v>
      </c>
      <c r="X27" s="20">
        <f>MIN(X26,$C$28*IF(Classes!AB20,1,0.5))</f>
        <v>0</v>
      </c>
      <c r="Y27" s="20">
        <f>MIN(Y26,$C$28*IF(Classes!AC20,1,0.5))</f>
        <v>0</v>
      </c>
      <c r="Z27" s="20">
        <f>MIN(Z26,$C$28*IF(Classes!AD20,1,0.5))</f>
        <v>0</v>
      </c>
      <c r="AA27" s="20">
        <f>MIN(AA26,$C$28*IF(Classes!AE20,1,0.5))</f>
        <v>0</v>
      </c>
      <c r="AB27" s="20">
        <f>MIN(AB26,$C$28*IF(Classes!AF20,1,0.5))</f>
        <v>0</v>
      </c>
      <c r="AC27" s="20">
        <f>MIN(AC26,$C$28*IF(Classes!AG20,1,0.5))</f>
        <v>0</v>
      </c>
      <c r="AD27" s="20">
        <f>MIN(AD26,$C$28*IF(Classes!AH20,1,0.5))</f>
        <v>0</v>
      </c>
      <c r="AE27" s="20">
        <f>MIN(AE26,$C$28*IF(Classes!AI20,1,0.5))</f>
        <v>0</v>
      </c>
      <c r="AF27" s="20">
        <f>MIN(AF26,$C$28*IF(Classes!AJ20,1,0.5))</f>
        <v>0</v>
      </c>
      <c r="AG27" s="20">
        <f>MIN(AG26,$C$28*IF(Classes!AK20,1,0.5))</f>
        <v>0</v>
      </c>
      <c r="AH27" s="20">
        <f>MIN(AH26,$C$28*IF(Classes!AL20,1,0.5))</f>
        <v>0</v>
      </c>
      <c r="AI27" s="20">
        <f>MIN(AI26,$C$28*IF(Classes!AM20,1,0.5))</f>
        <v>0</v>
      </c>
      <c r="AJ27" s="20">
        <f>MIN(AJ26,$C$28*IF(Classes!AN20,1,0.5))</f>
        <v>0</v>
      </c>
      <c r="AK27" s="20">
        <f>MIN(AK26,$C$28*IF(Classes!AO20,1,0.5))</f>
        <v>0</v>
      </c>
      <c r="AL27" s="20">
        <f>MIN(AL26,$C$28*IF(Classes!AP20,1,0.5))</f>
        <v>0</v>
      </c>
      <c r="AM27" s="20">
        <f>MIN(AM26,$C$28*IF(Classes!AQ20,1,0.5))</f>
        <v>0</v>
      </c>
      <c r="AN27" s="20">
        <f>MIN(AN26,$C$28*IF(Classes!AR20,1,0.5))</f>
        <v>0</v>
      </c>
      <c r="AO27" s="20">
        <f>MIN(AO26,$C$28*IF(Classes!AS20,1,0.5))</f>
        <v>0</v>
      </c>
      <c r="AP27" s="20">
        <f>MIN(AP26,$C$28*IF(Classes!AT20,1,0.5))</f>
        <v>0</v>
      </c>
      <c r="AQ27" s="20">
        <f>MIN(AQ26,$C$28*IF(Classes!AU20,1,0.5))</f>
        <v>0</v>
      </c>
      <c r="AR27" s="20">
        <f>MIN(AR26,$C$28*IF(Classes!AV20,1,0.5))</f>
        <v>0</v>
      </c>
      <c r="AS27" s="20">
        <f>MIN(AS26,$C$28*IF(Classes!AW20,1,0.5))</f>
        <v>0</v>
      </c>
      <c r="AT27" s="20">
        <f>MIN(AT26,$C$28*IF(Classes!AX20,1,0.5))</f>
        <v>0</v>
      </c>
      <c r="AU27" s="20">
        <f>MIN(AU26,$C$28*IF(Classes!AY20,1,0.5))</f>
        <v>0</v>
      </c>
      <c r="AV27" s="20">
        <f>MIN(AV26,$C$28*IF(Classes!AZ20,1,0.5))</f>
        <v>0</v>
      </c>
      <c r="AW27" s="20">
        <f>MIN(AW26,$C$28*IF(Classes!BA20,1,0.5))</f>
        <v>0</v>
      </c>
      <c r="AX27" s="20">
        <f>MIN(AX26,$C$28*IF(Classes!BB20,1,0.5))</f>
        <v>0</v>
      </c>
      <c r="AY27" s="20">
        <f>MIN(AY26,$C$28*IF(Classes!BC20,1,0.5))</f>
        <v>0</v>
      </c>
      <c r="AZ27" s="20">
        <f>MIN(AZ26,$C$28*IF(Classes!BD20,1,0.5))</f>
        <v>0</v>
      </c>
      <c r="BA27" s="20">
        <f>MIN(BA26,$C$28*IF(Classes!BE20,1,0.5))</f>
        <v>0</v>
      </c>
      <c r="BB27" s="20">
        <f>MIN(BB26,$C$28*IF(Classes!BF20,1,0.5))</f>
        <v>0</v>
      </c>
      <c r="BC27" s="20">
        <f>MIN(BC26,$C$28*IF(Classes!BG20,1,0.5))</f>
        <v>0</v>
      </c>
      <c r="BD27" s="20">
        <f>MIN(BD26,$C$28*IF(Classes!BH20,1,0.5))</f>
        <v>0</v>
      </c>
      <c r="BE27" s="20">
        <f>MIN(BE26,$C$28*IF(Classes!BI20,1,0.5))</f>
        <v>0</v>
      </c>
      <c r="BF27" s="20">
        <f>MIN(BF26,$C$28*IF(Classes!BJ20,1,0.5))</f>
        <v>0</v>
      </c>
    </row>
    <row r="28" spans="1:3" ht="12.75">
      <c r="A28" s="117" t="s">
        <v>191</v>
      </c>
      <c r="B28" s="117"/>
      <c r="C28" s="20">
        <f>ChrLevel+3</f>
        <v>3</v>
      </c>
    </row>
    <row r="29" spans="1:3" ht="12.75">
      <c r="A29" s="117" t="s">
        <v>192</v>
      </c>
      <c r="B29" s="117"/>
      <c r="C29" s="20">
        <f>C28/2</f>
        <v>1.5</v>
      </c>
    </row>
    <row r="30" spans="1:6" ht="12.75">
      <c r="A30" s="40" t="s">
        <v>309</v>
      </c>
      <c r="B30" s="40" t="s">
        <v>310</v>
      </c>
      <c r="C30" s="40" t="s">
        <v>311</v>
      </c>
      <c r="D30" s="40" t="s">
        <v>308</v>
      </c>
      <c r="E30" s="40" t="s">
        <v>307</v>
      </c>
      <c r="F30" s="40" t="s">
        <v>312</v>
      </c>
    </row>
    <row r="31" spans="3:58" ht="12.75">
      <c r="C31" s="40"/>
      <c r="G31" s="20" t="e">
        <f>IF(LEN($A6&gt;0),LOOKUP($A6,Classes,Classes!K$3:K$18))</f>
        <v>#N/A</v>
      </c>
      <c r="H31" s="20" t="e">
        <f>IF(LEN($A6&gt;0),LOOKUP($A6,Classes,Classes!L$3:L$18))</f>
        <v>#N/A</v>
      </c>
      <c r="I31" s="20" t="e">
        <f>IF(LEN($A6&gt;0),LOOKUP($A6,Classes,Classes!M$3:M$18))</f>
        <v>#N/A</v>
      </c>
      <c r="J31" s="20" t="e">
        <f>IF(LEN($A6&gt;0),LOOKUP($A6,Classes,Classes!N$3:N$18))</f>
        <v>#N/A</v>
      </c>
      <c r="K31" s="20" t="e">
        <f>IF(LEN($A6&gt;0),LOOKUP($A6,Classes,Classes!O$3:O$18))</f>
        <v>#N/A</v>
      </c>
      <c r="L31" s="20" t="e">
        <f>IF(LEN($A6&gt;0),LOOKUP($A6,Classes,Classes!P$3:P$18))</f>
        <v>#N/A</v>
      </c>
      <c r="M31" s="20" t="e">
        <f>IF(LEN($A6&gt;0),LOOKUP($A6,Classes,Classes!Q$3:Q$18))</f>
        <v>#N/A</v>
      </c>
      <c r="N31" s="20" t="e">
        <f>IF(LEN($A6&gt;0),LOOKUP($A6,Classes,Classes!R$3:R$18))</f>
        <v>#N/A</v>
      </c>
      <c r="O31" s="20" t="e">
        <f>IF(LEN($A6&gt;0),LOOKUP($A6,Classes,Classes!S$3:S$18))</f>
        <v>#N/A</v>
      </c>
      <c r="P31" s="20" t="e">
        <f>IF(LEN($A6&gt;0),LOOKUP($A6,Classes,Classes!T$3:T$18))</f>
        <v>#N/A</v>
      </c>
      <c r="Q31" s="20" t="e">
        <f>IF(LEN($A6&gt;0),LOOKUP($A6,Classes,Classes!U$3:U$18))</f>
        <v>#N/A</v>
      </c>
      <c r="R31" s="20" t="e">
        <f>IF(LEN($A6&gt;0),LOOKUP($A6,Classes,Classes!V$3:V$18))</f>
        <v>#N/A</v>
      </c>
      <c r="S31" s="20" t="e">
        <f>IF(LEN($A6&gt;0),LOOKUP($A6,Classes,Classes!W$3:W$18))</f>
        <v>#N/A</v>
      </c>
      <c r="T31" s="20" t="e">
        <f>IF(LEN($A6&gt;0),LOOKUP($A6,Classes,Classes!X$3:X$18))</f>
        <v>#N/A</v>
      </c>
      <c r="U31" s="20" t="e">
        <f>IF(LEN($A6&gt;0),LOOKUP($A6,Classes,Classes!Y$3:Y$18))</f>
        <v>#N/A</v>
      </c>
      <c r="V31" s="20" t="e">
        <f>IF(LEN($A6&gt;0),LOOKUP($A6,Classes,Classes!Z$3:Z$18))</f>
        <v>#N/A</v>
      </c>
      <c r="W31" s="20" t="e">
        <f>IF(LEN($A6&gt;0),LOOKUP($A6,Classes,Classes!AA$3:AA$18))</f>
        <v>#N/A</v>
      </c>
      <c r="X31" s="20" t="e">
        <f>IF(LEN($A6&gt;0),LOOKUP($A6,Classes,Classes!AB$3:AB$18))</f>
        <v>#N/A</v>
      </c>
      <c r="Y31" s="20" t="e">
        <f>IF(LEN($A6&gt;0),LOOKUP($A6,Classes,Classes!AC$3:AC$18))</f>
        <v>#N/A</v>
      </c>
      <c r="Z31" s="20" t="e">
        <f>IF(LEN($A6&gt;0),LOOKUP($A6,Classes,Classes!AD$3:AD$18))</f>
        <v>#N/A</v>
      </c>
      <c r="AA31" s="20" t="e">
        <f>IF(LEN($A6&gt;0),LOOKUP($A6,Classes,Classes!AE$3:AE$18))</f>
        <v>#N/A</v>
      </c>
      <c r="AB31" s="20" t="e">
        <f>IF(LEN($A6&gt;0),LOOKUP($A6,Classes,Classes!AF$3:AF$18))</f>
        <v>#N/A</v>
      </c>
      <c r="AC31" s="20" t="e">
        <f>IF(LEN($A6&gt;0),LOOKUP($A6,Classes,Classes!AG$3:AG$18))</f>
        <v>#N/A</v>
      </c>
      <c r="AD31" s="20" t="e">
        <f>IF(LEN($A6&gt;0),LOOKUP($A6,Classes,Classes!AH$3:AH$18))</f>
        <v>#N/A</v>
      </c>
      <c r="AE31" s="20" t="e">
        <f>IF(LEN($A6&gt;0),LOOKUP($A6,Classes,Classes!AI$3:AI$18))</f>
        <v>#N/A</v>
      </c>
      <c r="AF31" s="20" t="e">
        <f>IF(LEN($A6&gt;0),LOOKUP($A6,Classes,Classes!AJ$3:AJ$18))</f>
        <v>#N/A</v>
      </c>
      <c r="AG31" s="20" t="e">
        <f>IF(LEN($A6&gt;0),LOOKUP($A6,Classes,Classes!AK$3:AK$18))</f>
        <v>#N/A</v>
      </c>
      <c r="AH31" s="20" t="e">
        <f>IF(LEN($A6&gt;0),LOOKUP($A6,Classes,Classes!AL$3:AL$18))</f>
        <v>#N/A</v>
      </c>
      <c r="AI31" s="20" t="e">
        <f>IF(LEN($A6&gt;0),LOOKUP($A6,Classes,Classes!AM$3:AM$18))</f>
        <v>#N/A</v>
      </c>
      <c r="AJ31" s="20" t="e">
        <f>IF(LEN($A6&gt;0),LOOKUP($A6,Classes,Classes!AN$3:AN$18))</f>
        <v>#N/A</v>
      </c>
      <c r="AK31" s="20" t="e">
        <f>IF(LEN($A6&gt;0),LOOKUP($A6,Classes,Classes!AO$3:AO$18))</f>
        <v>#N/A</v>
      </c>
      <c r="AL31" s="20" t="e">
        <f>IF(LEN($A6&gt;0),LOOKUP($A6,Classes,Classes!AP$3:AP$18))</f>
        <v>#N/A</v>
      </c>
      <c r="AM31" s="20" t="e">
        <f>IF(LEN($A6&gt;0),LOOKUP($A6,Classes,Classes!AQ$3:AQ$18))</f>
        <v>#N/A</v>
      </c>
      <c r="AN31" s="20" t="e">
        <f>IF(LEN($A6&gt;0),LOOKUP($A6,Classes,Classes!AR$3:AR$18))</f>
        <v>#N/A</v>
      </c>
      <c r="AO31" s="20" t="e">
        <f>IF(LEN($A6&gt;0),LOOKUP($A6,Classes,Classes!AS$3:AS$18))</f>
        <v>#N/A</v>
      </c>
      <c r="AP31" s="20" t="e">
        <f>IF(LEN($A6&gt;0),LOOKUP($A6,Classes,Classes!AT$3:AT$18))</f>
        <v>#N/A</v>
      </c>
      <c r="AQ31" s="20" t="e">
        <f>IF(LEN($A6&gt;0),LOOKUP($A6,Classes,Classes!AU$3:AU$18))</f>
        <v>#N/A</v>
      </c>
      <c r="AR31" s="20" t="e">
        <f>IF(LEN($A6&gt;0),LOOKUP($A6,Classes,Classes!AV$3:AV$18))</f>
        <v>#N/A</v>
      </c>
      <c r="AS31" s="20" t="e">
        <f>IF(LEN($A6&gt;0),LOOKUP($A6,Classes,Classes!AW$3:AW$18))</f>
        <v>#N/A</v>
      </c>
      <c r="AT31" s="20" t="e">
        <f>IF(LEN($A6&gt;0),LOOKUP($A6,Classes,Classes!AX$3:AX$18))</f>
        <v>#N/A</v>
      </c>
      <c r="AU31" s="20" t="e">
        <f>IF(LEN($A6&gt;0),LOOKUP($A6,Classes,Classes!AY$3:AY$18))</f>
        <v>#N/A</v>
      </c>
      <c r="AV31" s="20" t="e">
        <f>IF(LEN($A6&gt;0),LOOKUP($A6,Classes,Classes!AZ$3:AZ$18))</f>
        <v>#N/A</v>
      </c>
      <c r="AW31" s="20" t="e">
        <f>IF(LEN($A6&gt;0),LOOKUP($A6,Classes,Classes!BA$3:BA$18))</f>
        <v>#N/A</v>
      </c>
      <c r="AX31" s="20" t="e">
        <f>IF(LEN($A6&gt;0),LOOKUP($A6,Classes,Classes!BB$3:BB$18))</f>
        <v>#N/A</v>
      </c>
      <c r="AY31" s="20" t="e">
        <f>IF(LEN($A6&gt;0),LOOKUP($A6,Classes,Classes!BC$3:BC$18))</f>
        <v>#N/A</v>
      </c>
      <c r="AZ31" s="20" t="e">
        <f>IF(LEN($A6&gt;0),LOOKUP($A6,Classes,Classes!BD$3:BD$18))</f>
        <v>#N/A</v>
      </c>
      <c r="BA31" s="20" t="e">
        <f>IF(LEN($A6&gt;0),LOOKUP($A6,Classes,Classes!BE$3:BE$18))</f>
        <v>#N/A</v>
      </c>
      <c r="BB31" s="20" t="e">
        <f>IF(LEN($A6&gt;0),LOOKUP($A6,Classes,Classes!BF$3:BF$18))</f>
        <v>#N/A</v>
      </c>
      <c r="BC31" s="20" t="e">
        <f>IF(LEN($A6&gt;0),LOOKUP($A6,Classes,Classes!BG$3:BG$18))</f>
        <v>#N/A</v>
      </c>
      <c r="BD31" s="20" t="e">
        <f>IF(LEN($A6&gt;0),LOOKUP($A6,Classes,Classes!BH$3:BH$18))</f>
        <v>#N/A</v>
      </c>
      <c r="BE31" s="20" t="e">
        <f>IF(LEN($A6&gt;0),LOOKUP($A6,Classes,Classes!BI$3:BI$18))</f>
        <v>#N/A</v>
      </c>
      <c r="BF31" s="20" t="e">
        <f>IF(LEN($A6&gt;0),LOOKUP($A6,Classes,Classes!BJ$3:BJ$18))</f>
        <v>#N/A</v>
      </c>
    </row>
    <row r="32" spans="7:58" ht="12.75">
      <c r="G32" s="20" t="e">
        <f>IF(LEN($A7&gt;0),LOOKUP($A7,Classes,Classes!K$3:K$18))</f>
        <v>#N/A</v>
      </c>
      <c r="H32" s="20" t="e">
        <f>IF(LEN($A7&gt;0),LOOKUP($A7,Classes,Classes!L$3:L$18))</f>
        <v>#N/A</v>
      </c>
      <c r="I32" s="20" t="e">
        <f>IF(LEN($A7&gt;0),LOOKUP($A7,Classes,Classes!M$3:M$18))</f>
        <v>#N/A</v>
      </c>
      <c r="J32" s="20" t="e">
        <f>IF(LEN($A7&gt;0),LOOKUP($A7,Classes,Classes!N$3:N$18))</f>
        <v>#N/A</v>
      </c>
      <c r="K32" s="20" t="e">
        <f>IF(LEN($A7&gt;0),LOOKUP($A7,Classes,Classes!O$3:O$18))</f>
        <v>#N/A</v>
      </c>
      <c r="L32" s="20" t="e">
        <f>IF(LEN($A7&gt;0),LOOKUP($A7,Classes,Classes!P$3:P$18))</f>
        <v>#N/A</v>
      </c>
      <c r="M32" s="20" t="e">
        <f>IF(LEN($A7&gt;0),LOOKUP($A7,Classes,Classes!Q$3:Q$18))</f>
        <v>#N/A</v>
      </c>
      <c r="N32" s="20" t="e">
        <f>IF(LEN($A7&gt;0),LOOKUP($A7,Classes,Classes!R$3:R$18))</f>
        <v>#N/A</v>
      </c>
      <c r="O32" s="20" t="e">
        <f>IF(LEN($A7&gt;0),LOOKUP($A7,Classes,Classes!S$3:S$18))</f>
        <v>#N/A</v>
      </c>
      <c r="P32" s="20" t="e">
        <f>IF(LEN($A7&gt;0),LOOKUP($A7,Classes,Classes!T$3:T$18))</f>
        <v>#N/A</v>
      </c>
      <c r="Q32" s="20" t="e">
        <f>IF(LEN($A7&gt;0),LOOKUP($A7,Classes,Classes!U$3:U$18))</f>
        <v>#N/A</v>
      </c>
      <c r="R32" s="20" t="e">
        <f>IF(LEN($A7&gt;0),LOOKUP($A7,Classes,Classes!V$3:V$18))</f>
        <v>#N/A</v>
      </c>
      <c r="S32" s="20" t="e">
        <f>IF(LEN($A7&gt;0),LOOKUP($A7,Classes,Classes!W$3:W$18))</f>
        <v>#N/A</v>
      </c>
      <c r="T32" s="20" t="e">
        <f>IF(LEN($A7&gt;0),LOOKUP($A7,Classes,Classes!X$3:X$18))</f>
        <v>#N/A</v>
      </c>
      <c r="U32" s="20" t="e">
        <f>IF(LEN($A7&gt;0),LOOKUP($A7,Classes,Classes!Y$3:Y$18))</f>
        <v>#N/A</v>
      </c>
      <c r="V32" s="20" t="e">
        <f>IF(LEN($A7&gt;0),LOOKUP($A7,Classes,Classes!Z$3:Z$18))</f>
        <v>#N/A</v>
      </c>
      <c r="W32" s="20" t="e">
        <f>IF(LEN($A7&gt;0),LOOKUP($A7,Classes,Classes!AA$3:AA$18))</f>
        <v>#N/A</v>
      </c>
      <c r="X32" s="20" t="e">
        <f>IF(LEN($A7&gt;0),LOOKUP($A7,Classes,Classes!AB$3:AB$18))</f>
        <v>#N/A</v>
      </c>
      <c r="Y32" s="20" t="e">
        <f>IF(LEN($A7&gt;0),LOOKUP($A7,Classes,Classes!AC$3:AC$18))</f>
        <v>#N/A</v>
      </c>
      <c r="Z32" s="20" t="e">
        <f>IF(LEN($A7&gt;0),LOOKUP($A7,Classes,Classes!AD$3:AD$18))</f>
        <v>#N/A</v>
      </c>
      <c r="AA32" s="20" t="e">
        <f>IF(LEN($A7&gt;0),LOOKUP($A7,Classes,Classes!AE$3:AE$18))</f>
        <v>#N/A</v>
      </c>
      <c r="AB32" s="20" t="e">
        <f>IF(LEN($A7&gt;0),LOOKUP($A7,Classes,Classes!AF$3:AF$18))</f>
        <v>#N/A</v>
      </c>
      <c r="AC32" s="20" t="e">
        <f>IF(LEN($A7&gt;0),LOOKUP($A7,Classes,Classes!AG$3:AG$18))</f>
        <v>#N/A</v>
      </c>
      <c r="AD32" s="20" t="e">
        <f>IF(LEN($A7&gt;0),LOOKUP($A7,Classes,Classes!AH$3:AH$18))</f>
        <v>#N/A</v>
      </c>
      <c r="AE32" s="20" t="e">
        <f>IF(LEN($A7&gt;0),LOOKUP($A7,Classes,Classes!AI$3:AI$18))</f>
        <v>#N/A</v>
      </c>
      <c r="AF32" s="20" t="e">
        <f>IF(LEN($A7&gt;0),LOOKUP($A7,Classes,Classes!AJ$3:AJ$18))</f>
        <v>#N/A</v>
      </c>
      <c r="AG32" s="20" t="e">
        <f>IF(LEN($A7&gt;0),LOOKUP($A7,Classes,Classes!AK$3:AK$18))</f>
        <v>#N/A</v>
      </c>
      <c r="AH32" s="20" t="e">
        <f>IF(LEN($A7&gt;0),LOOKUP($A7,Classes,Classes!AL$3:AL$18))</f>
        <v>#N/A</v>
      </c>
      <c r="AI32" s="20" t="e">
        <f>IF(LEN($A7&gt;0),LOOKUP($A7,Classes,Classes!AM$3:AM$18))</f>
        <v>#N/A</v>
      </c>
      <c r="AJ32" s="20" t="e">
        <f>IF(LEN($A7&gt;0),LOOKUP($A7,Classes,Classes!AN$3:AN$18))</f>
        <v>#N/A</v>
      </c>
      <c r="AK32" s="20" t="e">
        <f>IF(LEN($A7&gt;0),LOOKUP($A7,Classes,Classes!AO$3:AO$18))</f>
        <v>#N/A</v>
      </c>
      <c r="AL32" s="20" t="e">
        <f>IF(LEN($A7&gt;0),LOOKUP($A7,Classes,Classes!AP$3:AP$18))</f>
        <v>#N/A</v>
      </c>
      <c r="AM32" s="20" t="e">
        <f>IF(LEN($A7&gt;0),LOOKUP($A7,Classes,Classes!AQ$3:AQ$18))</f>
        <v>#N/A</v>
      </c>
      <c r="AN32" s="20" t="e">
        <f>IF(LEN($A7&gt;0),LOOKUP($A7,Classes,Classes!AR$3:AR$18))</f>
        <v>#N/A</v>
      </c>
      <c r="AO32" s="20" t="e">
        <f>IF(LEN($A7&gt;0),LOOKUP($A7,Classes,Classes!AS$3:AS$18))</f>
        <v>#N/A</v>
      </c>
      <c r="AP32" s="20" t="e">
        <f>IF(LEN($A7&gt;0),LOOKUP($A7,Classes,Classes!AT$3:AT$18))</f>
        <v>#N/A</v>
      </c>
      <c r="AQ32" s="20" t="e">
        <f>IF(LEN($A7&gt;0),LOOKUP($A7,Classes,Classes!AU$3:AU$18))</f>
        <v>#N/A</v>
      </c>
      <c r="AR32" s="20" t="e">
        <f>IF(LEN($A7&gt;0),LOOKUP($A7,Classes,Classes!AV$3:AV$18))</f>
        <v>#N/A</v>
      </c>
      <c r="AS32" s="20" t="e">
        <f>IF(LEN($A7&gt;0),LOOKUP($A7,Classes,Classes!AW$3:AW$18))</f>
        <v>#N/A</v>
      </c>
      <c r="AT32" s="20" t="e">
        <f>IF(LEN($A7&gt;0),LOOKUP($A7,Classes,Classes!AX$3:AX$18))</f>
        <v>#N/A</v>
      </c>
      <c r="AU32" s="20" t="e">
        <f>IF(LEN($A7&gt;0),LOOKUP($A7,Classes,Classes!AY$3:AY$18))</f>
        <v>#N/A</v>
      </c>
      <c r="AV32" s="20" t="e">
        <f>IF(LEN($A7&gt;0),LOOKUP($A7,Classes,Classes!AZ$3:AZ$18))</f>
        <v>#N/A</v>
      </c>
      <c r="AW32" s="20" t="e">
        <f>IF(LEN($A7&gt;0),LOOKUP($A7,Classes,Classes!BA$3:BA$18))</f>
        <v>#N/A</v>
      </c>
      <c r="AX32" s="20" t="e">
        <f>IF(LEN($A7&gt;0),LOOKUP($A7,Classes,Classes!BB$3:BB$18))</f>
        <v>#N/A</v>
      </c>
      <c r="AY32" s="20" t="e">
        <f>IF(LEN($A7&gt;0),LOOKUP($A7,Classes,Classes!BC$3:BC$18))</f>
        <v>#N/A</v>
      </c>
      <c r="AZ32" s="20" t="e">
        <f>IF(LEN($A7&gt;0),LOOKUP($A7,Classes,Classes!BD$3:BD$18))</f>
        <v>#N/A</v>
      </c>
      <c r="BA32" s="20" t="e">
        <f>IF(LEN($A7&gt;0),LOOKUP($A7,Classes,Classes!BE$3:BE$18))</f>
        <v>#N/A</v>
      </c>
      <c r="BB32" s="20" t="e">
        <f>IF(LEN($A7&gt;0),LOOKUP($A7,Classes,Classes!BF$3:BF$18))</f>
        <v>#N/A</v>
      </c>
      <c r="BC32" s="20" t="e">
        <f>IF(LEN($A7&gt;0),LOOKUP($A7,Classes,Classes!BG$3:BG$18))</f>
        <v>#N/A</v>
      </c>
      <c r="BD32" s="20" t="e">
        <f>IF(LEN($A7&gt;0),LOOKUP($A7,Classes,Classes!BH$3:BH$18))</f>
        <v>#N/A</v>
      </c>
      <c r="BE32" s="20" t="e">
        <f>IF(LEN($A7&gt;0),LOOKUP($A7,Classes,Classes!BI$3:BI$18))</f>
        <v>#N/A</v>
      </c>
      <c r="BF32" s="20" t="e">
        <f>IF(LEN($A7&gt;0),LOOKUP($A7,Classes,Classes!BJ$3:BJ$18))</f>
        <v>#N/A</v>
      </c>
    </row>
    <row r="33" spans="7:58" ht="12.75">
      <c r="G33" s="20" t="e">
        <f>IF(LEN($A8&gt;0),LOOKUP($A8,Classes,Classes!K$3:K$18))</f>
        <v>#N/A</v>
      </c>
      <c r="H33" s="20" t="e">
        <f>IF(LEN($A8&gt;0),LOOKUP($A8,Classes,Classes!L$3:L$18))</f>
        <v>#N/A</v>
      </c>
      <c r="I33" s="20" t="e">
        <f>IF(LEN($A8&gt;0),LOOKUP($A8,Classes,Classes!M$3:M$18))</f>
        <v>#N/A</v>
      </c>
      <c r="J33" s="20" t="e">
        <f>IF(LEN($A8&gt;0),LOOKUP($A8,Classes,Classes!N$3:N$18))</f>
        <v>#N/A</v>
      </c>
      <c r="K33" s="20" t="e">
        <f>IF(LEN($A8&gt;0),LOOKUP($A8,Classes,Classes!O$3:O$18))</f>
        <v>#N/A</v>
      </c>
      <c r="L33" s="20" t="e">
        <f>IF(LEN($A8&gt;0),LOOKUP($A8,Classes,Classes!P$3:P$18))</f>
        <v>#N/A</v>
      </c>
      <c r="M33" s="20" t="e">
        <f>IF(LEN($A8&gt;0),LOOKUP($A8,Classes,Classes!Q$3:Q$18))</f>
        <v>#N/A</v>
      </c>
      <c r="N33" s="20" t="e">
        <f>IF(LEN($A8&gt;0),LOOKUP($A8,Classes,Classes!R$3:R$18))</f>
        <v>#N/A</v>
      </c>
      <c r="O33" s="20" t="e">
        <f>IF(LEN($A8&gt;0),LOOKUP($A8,Classes,Classes!S$3:S$18))</f>
        <v>#N/A</v>
      </c>
      <c r="P33" s="20" t="e">
        <f>IF(LEN($A8&gt;0),LOOKUP($A8,Classes,Classes!T$3:T$18))</f>
        <v>#N/A</v>
      </c>
      <c r="Q33" s="20" t="e">
        <f>IF(LEN($A8&gt;0),LOOKUP($A8,Classes,Classes!U$3:U$18))</f>
        <v>#N/A</v>
      </c>
      <c r="R33" s="20" t="e">
        <f>IF(LEN($A8&gt;0),LOOKUP($A8,Classes,Classes!V$3:V$18))</f>
        <v>#N/A</v>
      </c>
      <c r="S33" s="20" t="e">
        <f>IF(LEN($A8&gt;0),LOOKUP($A8,Classes,Classes!W$3:W$18))</f>
        <v>#N/A</v>
      </c>
      <c r="T33" s="20" t="e">
        <f>IF(LEN($A8&gt;0),LOOKUP($A8,Classes,Classes!X$3:X$18))</f>
        <v>#N/A</v>
      </c>
      <c r="U33" s="20" t="e">
        <f>IF(LEN($A8&gt;0),LOOKUP($A8,Classes,Classes!Y$3:Y$18))</f>
        <v>#N/A</v>
      </c>
      <c r="V33" s="20" t="e">
        <f>IF(LEN($A8&gt;0),LOOKUP($A8,Classes,Classes!Z$3:Z$18))</f>
        <v>#N/A</v>
      </c>
      <c r="W33" s="20" t="e">
        <f>IF(LEN($A8&gt;0),LOOKUP($A8,Classes,Classes!AA$3:AA$18))</f>
        <v>#N/A</v>
      </c>
      <c r="X33" s="20" t="e">
        <f>IF(LEN($A8&gt;0),LOOKUP($A8,Classes,Classes!AB$3:AB$18))</f>
        <v>#N/A</v>
      </c>
      <c r="Y33" s="20" t="e">
        <f>IF(LEN($A8&gt;0),LOOKUP($A8,Classes,Classes!AC$3:AC$18))</f>
        <v>#N/A</v>
      </c>
      <c r="Z33" s="20" t="e">
        <f>IF(LEN($A8&gt;0),LOOKUP($A8,Classes,Classes!AD$3:AD$18))</f>
        <v>#N/A</v>
      </c>
      <c r="AA33" s="20" t="e">
        <f>IF(LEN($A8&gt;0),LOOKUP($A8,Classes,Classes!AE$3:AE$18))</f>
        <v>#N/A</v>
      </c>
      <c r="AB33" s="20" t="e">
        <f>IF(LEN($A8&gt;0),LOOKUP($A8,Classes,Classes!AF$3:AF$18))</f>
        <v>#N/A</v>
      </c>
      <c r="AC33" s="20" t="e">
        <f>IF(LEN($A8&gt;0),LOOKUP($A8,Classes,Classes!AG$3:AG$18))</f>
        <v>#N/A</v>
      </c>
      <c r="AD33" s="20" t="e">
        <f>IF(LEN($A8&gt;0),LOOKUP($A8,Classes,Classes!AH$3:AH$18))</f>
        <v>#N/A</v>
      </c>
      <c r="AE33" s="20" t="e">
        <f>IF(LEN($A8&gt;0),LOOKUP($A8,Classes,Classes!AI$3:AI$18))</f>
        <v>#N/A</v>
      </c>
      <c r="AF33" s="20" t="e">
        <f>IF(LEN($A8&gt;0),LOOKUP($A8,Classes,Classes!AJ$3:AJ$18))</f>
        <v>#N/A</v>
      </c>
      <c r="AG33" s="20" t="e">
        <f>IF(LEN($A8&gt;0),LOOKUP($A8,Classes,Classes!AK$3:AK$18))</f>
        <v>#N/A</v>
      </c>
      <c r="AH33" s="20" t="e">
        <f>IF(LEN($A8&gt;0),LOOKUP($A8,Classes,Classes!AL$3:AL$18))</f>
        <v>#N/A</v>
      </c>
      <c r="AI33" s="20" t="e">
        <f>IF(LEN($A8&gt;0),LOOKUP($A8,Classes,Classes!AM$3:AM$18))</f>
        <v>#N/A</v>
      </c>
      <c r="AJ33" s="20" t="e">
        <f>IF(LEN($A8&gt;0),LOOKUP($A8,Classes,Classes!AN$3:AN$18))</f>
        <v>#N/A</v>
      </c>
      <c r="AK33" s="20" t="e">
        <f>IF(LEN($A8&gt;0),LOOKUP($A8,Classes,Classes!AO$3:AO$18))</f>
        <v>#N/A</v>
      </c>
      <c r="AL33" s="20" t="e">
        <f>IF(LEN($A8&gt;0),LOOKUP($A8,Classes,Classes!AP$3:AP$18))</f>
        <v>#N/A</v>
      </c>
      <c r="AM33" s="20" t="e">
        <f>IF(LEN($A8&gt;0),LOOKUP($A8,Classes,Classes!AQ$3:AQ$18))</f>
        <v>#N/A</v>
      </c>
      <c r="AN33" s="20" t="e">
        <f>IF(LEN($A8&gt;0),LOOKUP($A8,Classes,Classes!AR$3:AR$18))</f>
        <v>#N/A</v>
      </c>
      <c r="AO33" s="20" t="e">
        <f>IF(LEN($A8&gt;0),LOOKUP($A8,Classes,Classes!AS$3:AS$18))</f>
        <v>#N/A</v>
      </c>
      <c r="AP33" s="20" t="e">
        <f>IF(LEN($A8&gt;0),LOOKUP($A8,Classes,Classes!AT$3:AT$18))</f>
        <v>#N/A</v>
      </c>
      <c r="AQ33" s="20" t="e">
        <f>IF(LEN($A8&gt;0),LOOKUP($A8,Classes,Classes!AU$3:AU$18))</f>
        <v>#N/A</v>
      </c>
      <c r="AR33" s="20" t="e">
        <f>IF(LEN($A8&gt;0),LOOKUP($A8,Classes,Classes!AV$3:AV$18))</f>
        <v>#N/A</v>
      </c>
      <c r="AS33" s="20" t="e">
        <f>IF(LEN($A8&gt;0),LOOKUP($A8,Classes,Classes!AW$3:AW$18))</f>
        <v>#N/A</v>
      </c>
      <c r="AT33" s="20" t="e">
        <f>IF(LEN($A8&gt;0),LOOKUP($A8,Classes,Classes!AX$3:AX$18))</f>
        <v>#N/A</v>
      </c>
      <c r="AU33" s="20" t="e">
        <f>IF(LEN($A8&gt;0),LOOKUP($A8,Classes,Classes!AY$3:AY$18))</f>
        <v>#N/A</v>
      </c>
      <c r="AV33" s="20" t="e">
        <f>IF(LEN($A8&gt;0),LOOKUP($A8,Classes,Classes!AZ$3:AZ$18))</f>
        <v>#N/A</v>
      </c>
      <c r="AW33" s="20" t="e">
        <f>IF(LEN($A8&gt;0),LOOKUP($A8,Classes,Classes!BA$3:BA$18))</f>
        <v>#N/A</v>
      </c>
      <c r="AX33" s="20" t="e">
        <f>IF(LEN($A8&gt;0),LOOKUP($A8,Classes,Classes!BB$3:BB$18))</f>
        <v>#N/A</v>
      </c>
      <c r="AY33" s="20" t="e">
        <f>IF(LEN($A8&gt;0),LOOKUP($A8,Classes,Classes!BC$3:BC$18))</f>
        <v>#N/A</v>
      </c>
      <c r="AZ33" s="20" t="e">
        <f>IF(LEN($A8&gt;0),LOOKUP($A8,Classes,Classes!BD$3:BD$18))</f>
        <v>#N/A</v>
      </c>
      <c r="BA33" s="20" t="e">
        <f>IF(LEN($A8&gt;0),LOOKUP($A8,Classes,Classes!BE$3:BE$18))</f>
        <v>#N/A</v>
      </c>
      <c r="BB33" s="20" t="e">
        <f>IF(LEN($A8&gt;0),LOOKUP($A8,Classes,Classes!BF$3:BF$18))</f>
        <v>#N/A</v>
      </c>
      <c r="BC33" s="20" t="e">
        <f>IF(LEN($A8&gt;0),LOOKUP($A8,Classes,Classes!BG$3:BG$18))</f>
        <v>#N/A</v>
      </c>
      <c r="BD33" s="20" t="e">
        <f>IF(LEN($A8&gt;0),LOOKUP($A8,Classes,Classes!BH$3:BH$18))</f>
        <v>#N/A</v>
      </c>
      <c r="BE33" s="20" t="e">
        <f>IF(LEN($A8&gt;0),LOOKUP($A8,Classes,Classes!BI$3:BI$18))</f>
        <v>#N/A</v>
      </c>
      <c r="BF33" s="20" t="e">
        <f>IF(LEN($A8&gt;0),LOOKUP($A8,Classes,Classes!BJ$3:BJ$18))</f>
        <v>#N/A</v>
      </c>
    </row>
    <row r="34" spans="7:58" ht="12.75">
      <c r="G34" s="20" t="e">
        <f>IF(LEN($A9&gt;0),LOOKUP($A9,Classes,Classes!K$3:K$18))</f>
        <v>#N/A</v>
      </c>
      <c r="H34" s="20" t="e">
        <f>IF(LEN($A9&gt;0),LOOKUP($A9,Classes,Classes!L$3:L$18))</f>
        <v>#N/A</v>
      </c>
      <c r="I34" s="20" t="e">
        <f>IF(LEN($A9&gt;0),LOOKUP($A9,Classes,Classes!M$3:M$18))</f>
        <v>#N/A</v>
      </c>
      <c r="J34" s="20" t="e">
        <f>IF(LEN($A9&gt;0),LOOKUP($A9,Classes,Classes!N$3:N$18))</f>
        <v>#N/A</v>
      </c>
      <c r="K34" s="20" t="e">
        <f>IF(LEN($A9&gt;0),LOOKUP($A9,Classes,Classes!O$3:O$18))</f>
        <v>#N/A</v>
      </c>
      <c r="L34" s="20" t="e">
        <f>IF(LEN($A9&gt;0),LOOKUP($A9,Classes,Classes!P$3:P$18))</f>
        <v>#N/A</v>
      </c>
      <c r="M34" s="20" t="e">
        <f>IF(LEN($A9&gt;0),LOOKUP($A9,Classes,Classes!Q$3:Q$18))</f>
        <v>#N/A</v>
      </c>
      <c r="N34" s="20" t="e">
        <f>IF(LEN($A9&gt;0),LOOKUP($A9,Classes,Classes!R$3:R$18))</f>
        <v>#N/A</v>
      </c>
      <c r="O34" s="20" t="e">
        <f>IF(LEN($A9&gt;0),LOOKUP($A9,Classes,Classes!S$3:S$18))</f>
        <v>#N/A</v>
      </c>
      <c r="P34" s="20" t="e">
        <f>IF(LEN($A9&gt;0),LOOKUP($A9,Classes,Classes!T$3:T$18))</f>
        <v>#N/A</v>
      </c>
      <c r="Q34" s="20" t="e">
        <f>IF(LEN($A9&gt;0),LOOKUP($A9,Classes,Classes!U$3:U$18))</f>
        <v>#N/A</v>
      </c>
      <c r="R34" s="20" t="e">
        <f>IF(LEN($A9&gt;0),LOOKUP($A9,Classes,Classes!V$3:V$18))</f>
        <v>#N/A</v>
      </c>
      <c r="S34" s="20" t="e">
        <f>IF(LEN($A9&gt;0),LOOKUP($A9,Classes,Classes!W$3:W$18))</f>
        <v>#N/A</v>
      </c>
      <c r="T34" s="20" t="e">
        <f>IF(LEN($A9&gt;0),LOOKUP($A9,Classes,Classes!X$3:X$18))</f>
        <v>#N/A</v>
      </c>
      <c r="U34" s="20" t="e">
        <f>IF(LEN($A9&gt;0),LOOKUP($A9,Classes,Classes!Y$3:Y$18))</f>
        <v>#N/A</v>
      </c>
      <c r="V34" s="20" t="e">
        <f>IF(LEN($A9&gt;0),LOOKUP($A9,Classes,Classes!Z$3:Z$18))</f>
        <v>#N/A</v>
      </c>
      <c r="W34" s="20" t="e">
        <f>IF(LEN($A9&gt;0),LOOKUP($A9,Classes,Classes!AA$3:AA$18))</f>
        <v>#N/A</v>
      </c>
      <c r="X34" s="20" t="e">
        <f>IF(LEN($A9&gt;0),LOOKUP($A9,Classes,Classes!AB$3:AB$18))</f>
        <v>#N/A</v>
      </c>
      <c r="Y34" s="20" t="e">
        <f>IF(LEN($A9&gt;0),LOOKUP($A9,Classes,Classes!AC$3:AC$18))</f>
        <v>#N/A</v>
      </c>
      <c r="Z34" s="20" t="e">
        <f>IF(LEN($A9&gt;0),LOOKUP($A9,Classes,Classes!AD$3:AD$18))</f>
        <v>#N/A</v>
      </c>
      <c r="AA34" s="20" t="e">
        <f>IF(LEN($A9&gt;0),LOOKUP($A9,Classes,Classes!AE$3:AE$18))</f>
        <v>#N/A</v>
      </c>
      <c r="AB34" s="20" t="e">
        <f>IF(LEN($A9&gt;0),LOOKUP($A9,Classes,Classes!AF$3:AF$18))</f>
        <v>#N/A</v>
      </c>
      <c r="AC34" s="20" t="e">
        <f>IF(LEN($A9&gt;0),LOOKUP($A9,Classes,Classes!AG$3:AG$18))</f>
        <v>#N/A</v>
      </c>
      <c r="AD34" s="20" t="e">
        <f>IF(LEN($A9&gt;0),LOOKUP($A9,Classes,Classes!AH$3:AH$18))</f>
        <v>#N/A</v>
      </c>
      <c r="AE34" s="20" t="e">
        <f>IF(LEN($A9&gt;0),LOOKUP($A9,Classes,Classes!AI$3:AI$18))</f>
        <v>#N/A</v>
      </c>
      <c r="AF34" s="20" t="e">
        <f>IF(LEN($A9&gt;0),LOOKUP($A9,Classes,Classes!AJ$3:AJ$18))</f>
        <v>#N/A</v>
      </c>
      <c r="AG34" s="20" t="e">
        <f>IF(LEN($A9&gt;0),LOOKUP($A9,Classes,Classes!AK$3:AK$18))</f>
        <v>#N/A</v>
      </c>
      <c r="AH34" s="20" t="e">
        <f>IF(LEN($A9&gt;0),LOOKUP($A9,Classes,Classes!AL$3:AL$18))</f>
        <v>#N/A</v>
      </c>
      <c r="AI34" s="20" t="e">
        <f>IF(LEN($A9&gt;0),LOOKUP($A9,Classes,Classes!AM$3:AM$18))</f>
        <v>#N/A</v>
      </c>
      <c r="AJ34" s="20" t="e">
        <f>IF(LEN($A9&gt;0),LOOKUP($A9,Classes,Classes!AN$3:AN$18))</f>
        <v>#N/A</v>
      </c>
      <c r="AK34" s="20" t="e">
        <f>IF(LEN($A9&gt;0),LOOKUP($A9,Classes,Classes!AO$3:AO$18))</f>
        <v>#N/A</v>
      </c>
      <c r="AL34" s="20" t="e">
        <f>IF(LEN($A9&gt;0),LOOKUP($A9,Classes,Classes!AP$3:AP$18))</f>
        <v>#N/A</v>
      </c>
      <c r="AM34" s="20" t="e">
        <f>IF(LEN($A9&gt;0),LOOKUP($A9,Classes,Classes!AQ$3:AQ$18))</f>
        <v>#N/A</v>
      </c>
      <c r="AN34" s="20" t="e">
        <f>IF(LEN($A9&gt;0),LOOKUP($A9,Classes,Classes!AR$3:AR$18))</f>
        <v>#N/A</v>
      </c>
      <c r="AO34" s="20" t="e">
        <f>IF(LEN($A9&gt;0),LOOKUP($A9,Classes,Classes!AS$3:AS$18))</f>
        <v>#N/A</v>
      </c>
      <c r="AP34" s="20" t="e">
        <f>IF(LEN($A9&gt;0),LOOKUP($A9,Classes,Classes!AT$3:AT$18))</f>
        <v>#N/A</v>
      </c>
      <c r="AQ34" s="20" t="e">
        <f>IF(LEN($A9&gt;0),LOOKUP($A9,Classes,Classes!AU$3:AU$18))</f>
        <v>#N/A</v>
      </c>
      <c r="AR34" s="20" t="e">
        <f>IF(LEN($A9&gt;0),LOOKUP($A9,Classes,Classes!AV$3:AV$18))</f>
        <v>#N/A</v>
      </c>
      <c r="AS34" s="20" t="e">
        <f>IF(LEN($A9&gt;0),LOOKUP($A9,Classes,Classes!AW$3:AW$18))</f>
        <v>#N/A</v>
      </c>
      <c r="AT34" s="20" t="e">
        <f>IF(LEN($A9&gt;0),LOOKUP($A9,Classes,Classes!AX$3:AX$18))</f>
        <v>#N/A</v>
      </c>
      <c r="AU34" s="20" t="e">
        <f>IF(LEN($A9&gt;0),LOOKUP($A9,Classes,Classes!AY$3:AY$18))</f>
        <v>#N/A</v>
      </c>
      <c r="AV34" s="20" t="e">
        <f>IF(LEN($A9&gt;0),LOOKUP($A9,Classes,Classes!AZ$3:AZ$18))</f>
        <v>#N/A</v>
      </c>
      <c r="AW34" s="20" t="e">
        <f>IF(LEN($A9&gt;0),LOOKUP($A9,Classes,Classes!BA$3:BA$18))</f>
        <v>#N/A</v>
      </c>
      <c r="AX34" s="20" t="e">
        <f>IF(LEN($A9&gt;0),LOOKUP($A9,Classes,Classes!BB$3:BB$18))</f>
        <v>#N/A</v>
      </c>
      <c r="AY34" s="20" t="e">
        <f>IF(LEN($A9&gt;0),LOOKUP($A9,Classes,Classes!BC$3:BC$18))</f>
        <v>#N/A</v>
      </c>
      <c r="AZ34" s="20" t="e">
        <f>IF(LEN($A9&gt;0),LOOKUP($A9,Classes,Classes!BD$3:BD$18))</f>
        <v>#N/A</v>
      </c>
      <c r="BA34" s="20" t="e">
        <f>IF(LEN($A9&gt;0),LOOKUP($A9,Classes,Classes!BE$3:BE$18))</f>
        <v>#N/A</v>
      </c>
      <c r="BB34" s="20" t="e">
        <f>IF(LEN($A9&gt;0),LOOKUP($A9,Classes,Classes!BF$3:BF$18))</f>
        <v>#N/A</v>
      </c>
      <c r="BC34" s="20" t="e">
        <f>IF(LEN($A9&gt;0),LOOKUP($A9,Classes,Classes!BG$3:BG$18))</f>
        <v>#N/A</v>
      </c>
      <c r="BD34" s="20" t="e">
        <f>IF(LEN($A9&gt;0),LOOKUP($A9,Classes,Classes!BH$3:BH$18))</f>
        <v>#N/A</v>
      </c>
      <c r="BE34" s="20" t="e">
        <f>IF(LEN($A9&gt;0),LOOKUP($A9,Classes,Classes!BI$3:BI$18))</f>
        <v>#N/A</v>
      </c>
      <c r="BF34" s="20" t="e">
        <f>IF(LEN($A9&gt;0),LOOKUP($A9,Classes,Classes!BJ$3:BJ$18))</f>
        <v>#N/A</v>
      </c>
    </row>
    <row r="35" spans="7:58" ht="12.75">
      <c r="G35" s="20" t="e">
        <f>IF(LEN($A10&gt;0),LOOKUP($A10,Classes,Classes!K$3:K$18))</f>
        <v>#N/A</v>
      </c>
      <c r="H35" s="20" t="e">
        <f>IF(LEN($A10&gt;0),LOOKUP($A10,Classes,Classes!L$3:L$18))</f>
        <v>#N/A</v>
      </c>
      <c r="I35" s="20" t="e">
        <f>IF(LEN($A10&gt;0),LOOKUP($A10,Classes,Classes!M$3:M$18))</f>
        <v>#N/A</v>
      </c>
      <c r="J35" s="20" t="e">
        <f>IF(LEN($A10&gt;0),LOOKUP($A10,Classes,Classes!N$3:N$18))</f>
        <v>#N/A</v>
      </c>
      <c r="K35" s="20" t="e">
        <f>IF(LEN($A10&gt;0),LOOKUP($A10,Classes,Classes!O$3:O$18))</f>
        <v>#N/A</v>
      </c>
      <c r="L35" s="20" t="e">
        <f>IF(LEN($A10&gt;0),LOOKUP($A10,Classes,Classes!P$3:P$18))</f>
        <v>#N/A</v>
      </c>
      <c r="M35" s="20" t="e">
        <f>IF(LEN($A10&gt;0),LOOKUP($A10,Classes,Classes!Q$3:Q$18))</f>
        <v>#N/A</v>
      </c>
      <c r="N35" s="20" t="e">
        <f>IF(LEN($A10&gt;0),LOOKUP($A10,Classes,Classes!R$3:R$18))</f>
        <v>#N/A</v>
      </c>
      <c r="O35" s="20" t="e">
        <f>IF(LEN($A10&gt;0),LOOKUP($A10,Classes,Classes!S$3:S$18))</f>
        <v>#N/A</v>
      </c>
      <c r="P35" s="20" t="e">
        <f>IF(LEN($A10&gt;0),LOOKUP($A10,Classes,Classes!T$3:T$18))</f>
        <v>#N/A</v>
      </c>
      <c r="Q35" s="20" t="e">
        <f>IF(LEN($A10&gt;0),LOOKUP($A10,Classes,Classes!U$3:U$18))</f>
        <v>#N/A</v>
      </c>
      <c r="R35" s="20" t="e">
        <f>IF(LEN($A10&gt;0),LOOKUP($A10,Classes,Classes!V$3:V$18))</f>
        <v>#N/A</v>
      </c>
      <c r="S35" s="20" t="e">
        <f>IF(LEN($A10&gt;0),LOOKUP($A10,Classes,Classes!W$3:W$18))</f>
        <v>#N/A</v>
      </c>
      <c r="T35" s="20" t="e">
        <f>IF(LEN($A10&gt;0),LOOKUP($A10,Classes,Classes!X$3:X$18))</f>
        <v>#N/A</v>
      </c>
      <c r="U35" s="20" t="e">
        <f>IF(LEN($A10&gt;0),LOOKUP($A10,Classes,Classes!Y$3:Y$18))</f>
        <v>#N/A</v>
      </c>
      <c r="V35" s="20" t="e">
        <f>IF(LEN($A10&gt;0),LOOKUP($A10,Classes,Classes!Z$3:Z$18))</f>
        <v>#N/A</v>
      </c>
      <c r="W35" s="20" t="e">
        <f>IF(LEN($A10&gt;0),LOOKUP($A10,Classes,Classes!AA$3:AA$18))</f>
        <v>#N/A</v>
      </c>
      <c r="X35" s="20" t="e">
        <f>IF(LEN($A10&gt;0),LOOKUP($A10,Classes,Classes!AB$3:AB$18))</f>
        <v>#N/A</v>
      </c>
      <c r="Y35" s="20" t="e">
        <f>IF(LEN($A10&gt;0),LOOKUP($A10,Classes,Classes!AC$3:AC$18))</f>
        <v>#N/A</v>
      </c>
      <c r="Z35" s="20" t="e">
        <f>IF(LEN($A10&gt;0),LOOKUP($A10,Classes,Classes!AD$3:AD$18))</f>
        <v>#N/A</v>
      </c>
      <c r="AA35" s="20" t="e">
        <f>IF(LEN($A10&gt;0),LOOKUP($A10,Classes,Classes!AE$3:AE$18))</f>
        <v>#N/A</v>
      </c>
      <c r="AB35" s="20" t="e">
        <f>IF(LEN($A10&gt;0),LOOKUP($A10,Classes,Classes!AF$3:AF$18))</f>
        <v>#N/A</v>
      </c>
      <c r="AC35" s="20" t="e">
        <f>IF(LEN($A10&gt;0),LOOKUP($A10,Classes,Classes!AG$3:AG$18))</f>
        <v>#N/A</v>
      </c>
      <c r="AD35" s="20" t="e">
        <f>IF(LEN($A10&gt;0),LOOKUP($A10,Classes,Classes!AH$3:AH$18))</f>
        <v>#N/A</v>
      </c>
      <c r="AE35" s="20" t="e">
        <f>IF(LEN($A10&gt;0),LOOKUP($A10,Classes,Classes!AI$3:AI$18))</f>
        <v>#N/A</v>
      </c>
      <c r="AF35" s="20" t="e">
        <f>IF(LEN($A10&gt;0),LOOKUP($A10,Classes,Classes!AJ$3:AJ$18))</f>
        <v>#N/A</v>
      </c>
      <c r="AG35" s="20" t="e">
        <f>IF(LEN($A10&gt;0),LOOKUP($A10,Classes,Classes!AK$3:AK$18))</f>
        <v>#N/A</v>
      </c>
      <c r="AH35" s="20" t="e">
        <f>IF(LEN($A10&gt;0),LOOKUP($A10,Classes,Classes!AL$3:AL$18))</f>
        <v>#N/A</v>
      </c>
      <c r="AI35" s="20" t="e">
        <f>IF(LEN($A10&gt;0),LOOKUP($A10,Classes,Classes!AM$3:AM$18))</f>
        <v>#N/A</v>
      </c>
      <c r="AJ35" s="20" t="e">
        <f>IF(LEN($A10&gt;0),LOOKUP($A10,Classes,Classes!AN$3:AN$18))</f>
        <v>#N/A</v>
      </c>
      <c r="AK35" s="20" t="e">
        <f>IF(LEN($A10&gt;0),LOOKUP($A10,Classes,Classes!AO$3:AO$18))</f>
        <v>#N/A</v>
      </c>
      <c r="AL35" s="20" t="e">
        <f>IF(LEN($A10&gt;0),LOOKUP($A10,Classes,Classes!AP$3:AP$18))</f>
        <v>#N/A</v>
      </c>
      <c r="AM35" s="20" t="e">
        <f>IF(LEN($A10&gt;0),LOOKUP($A10,Classes,Classes!AQ$3:AQ$18))</f>
        <v>#N/A</v>
      </c>
      <c r="AN35" s="20" t="e">
        <f>IF(LEN($A10&gt;0),LOOKUP($A10,Classes,Classes!AR$3:AR$18))</f>
        <v>#N/A</v>
      </c>
      <c r="AO35" s="20" t="e">
        <f>IF(LEN($A10&gt;0),LOOKUP($A10,Classes,Classes!AS$3:AS$18))</f>
        <v>#N/A</v>
      </c>
      <c r="AP35" s="20" t="e">
        <f>IF(LEN($A10&gt;0),LOOKUP($A10,Classes,Classes!AT$3:AT$18))</f>
        <v>#N/A</v>
      </c>
      <c r="AQ35" s="20" t="e">
        <f>IF(LEN($A10&gt;0),LOOKUP($A10,Classes,Classes!AU$3:AU$18))</f>
        <v>#N/A</v>
      </c>
      <c r="AR35" s="20" t="e">
        <f>IF(LEN($A10&gt;0),LOOKUP($A10,Classes,Classes!AV$3:AV$18))</f>
        <v>#N/A</v>
      </c>
      <c r="AS35" s="20" t="e">
        <f>IF(LEN($A10&gt;0),LOOKUP($A10,Classes,Classes!AW$3:AW$18))</f>
        <v>#N/A</v>
      </c>
      <c r="AT35" s="20" t="e">
        <f>IF(LEN($A10&gt;0),LOOKUP($A10,Classes,Classes!AX$3:AX$18))</f>
        <v>#N/A</v>
      </c>
      <c r="AU35" s="20" t="e">
        <f>IF(LEN($A10&gt;0),LOOKUP($A10,Classes,Classes!AY$3:AY$18))</f>
        <v>#N/A</v>
      </c>
      <c r="AV35" s="20" t="e">
        <f>IF(LEN($A10&gt;0),LOOKUP($A10,Classes,Classes!AZ$3:AZ$18))</f>
        <v>#N/A</v>
      </c>
      <c r="AW35" s="20" t="e">
        <f>IF(LEN($A10&gt;0),LOOKUP($A10,Classes,Classes!BA$3:BA$18))</f>
        <v>#N/A</v>
      </c>
      <c r="AX35" s="20" t="e">
        <f>IF(LEN($A10&gt;0),LOOKUP($A10,Classes,Classes!BB$3:BB$18))</f>
        <v>#N/A</v>
      </c>
      <c r="AY35" s="20" t="e">
        <f>IF(LEN($A10&gt;0),LOOKUP($A10,Classes,Classes!BC$3:BC$18))</f>
        <v>#N/A</v>
      </c>
      <c r="AZ35" s="20" t="e">
        <f>IF(LEN($A10&gt;0),LOOKUP($A10,Classes,Classes!BD$3:BD$18))</f>
        <v>#N/A</v>
      </c>
      <c r="BA35" s="20" t="e">
        <f>IF(LEN($A10&gt;0),LOOKUP($A10,Classes,Classes!BE$3:BE$18))</f>
        <v>#N/A</v>
      </c>
      <c r="BB35" s="20" t="e">
        <f>IF(LEN($A10&gt;0),LOOKUP($A10,Classes,Classes!BF$3:BF$18))</f>
        <v>#N/A</v>
      </c>
      <c r="BC35" s="20" t="e">
        <f>IF(LEN($A10&gt;0),LOOKUP($A10,Classes,Classes!BG$3:BG$18))</f>
        <v>#N/A</v>
      </c>
      <c r="BD35" s="20" t="e">
        <f>IF(LEN($A10&gt;0),LOOKUP($A10,Classes,Classes!BH$3:BH$18))</f>
        <v>#N/A</v>
      </c>
      <c r="BE35" s="20" t="e">
        <f>IF(LEN($A10&gt;0),LOOKUP($A10,Classes,Classes!BI$3:BI$18))</f>
        <v>#N/A</v>
      </c>
      <c r="BF35" s="20" t="e">
        <f>IF(LEN($A10&gt;0),LOOKUP($A10,Classes,Classes!BJ$3:BJ$18))</f>
        <v>#N/A</v>
      </c>
    </row>
    <row r="36" spans="7:58" ht="12.75">
      <c r="G36" s="20" t="e">
        <f>IF(LEN($A11&gt;0),LOOKUP($A11,Classes,Classes!K$3:K$18))</f>
        <v>#N/A</v>
      </c>
      <c r="H36" s="20" t="e">
        <f>IF(LEN($A11&gt;0),LOOKUP($A11,Classes,Classes!L$3:L$18))</f>
        <v>#N/A</v>
      </c>
      <c r="I36" s="20" t="e">
        <f>IF(LEN($A11&gt;0),LOOKUP($A11,Classes,Classes!M$3:M$18))</f>
        <v>#N/A</v>
      </c>
      <c r="J36" s="20" t="e">
        <f>IF(LEN($A11&gt;0),LOOKUP($A11,Classes,Classes!N$3:N$18))</f>
        <v>#N/A</v>
      </c>
      <c r="K36" s="20" t="e">
        <f>IF(LEN($A11&gt;0),LOOKUP($A11,Classes,Classes!O$3:O$18))</f>
        <v>#N/A</v>
      </c>
      <c r="L36" s="20" t="e">
        <f>IF(LEN($A11&gt;0),LOOKUP($A11,Classes,Classes!P$3:P$18))</f>
        <v>#N/A</v>
      </c>
      <c r="M36" s="20" t="e">
        <f>IF(LEN($A11&gt;0),LOOKUP($A11,Classes,Classes!Q$3:Q$18))</f>
        <v>#N/A</v>
      </c>
      <c r="N36" s="20" t="e">
        <f>IF(LEN($A11&gt;0),LOOKUP($A11,Classes,Classes!R$3:R$18))</f>
        <v>#N/A</v>
      </c>
      <c r="O36" s="20" t="e">
        <f>IF(LEN($A11&gt;0),LOOKUP($A11,Classes,Classes!S$3:S$18))</f>
        <v>#N/A</v>
      </c>
      <c r="P36" s="20" t="e">
        <f>IF(LEN($A11&gt;0),LOOKUP($A11,Classes,Classes!T$3:T$18))</f>
        <v>#N/A</v>
      </c>
      <c r="Q36" s="20" t="e">
        <f>IF(LEN($A11&gt;0),LOOKUP($A11,Classes,Classes!U$3:U$18))</f>
        <v>#N/A</v>
      </c>
      <c r="R36" s="20" t="e">
        <f>IF(LEN($A11&gt;0),LOOKUP($A11,Classes,Classes!V$3:V$18))</f>
        <v>#N/A</v>
      </c>
      <c r="S36" s="20" t="e">
        <f>IF(LEN($A11&gt;0),LOOKUP($A11,Classes,Classes!W$3:W$18))</f>
        <v>#N/A</v>
      </c>
      <c r="T36" s="20" t="e">
        <f>IF(LEN($A11&gt;0),LOOKUP($A11,Classes,Classes!X$3:X$18))</f>
        <v>#N/A</v>
      </c>
      <c r="U36" s="20" t="e">
        <f>IF(LEN($A11&gt;0),LOOKUP($A11,Classes,Classes!Y$3:Y$18))</f>
        <v>#N/A</v>
      </c>
      <c r="V36" s="20" t="e">
        <f>IF(LEN($A11&gt;0),LOOKUP($A11,Classes,Classes!Z$3:Z$18))</f>
        <v>#N/A</v>
      </c>
      <c r="W36" s="20" t="e">
        <f>IF(LEN($A11&gt;0),LOOKUP($A11,Classes,Classes!AA$3:AA$18))</f>
        <v>#N/A</v>
      </c>
      <c r="X36" s="20" t="e">
        <f>IF(LEN($A11&gt;0),LOOKUP($A11,Classes,Classes!AB$3:AB$18))</f>
        <v>#N/A</v>
      </c>
      <c r="Y36" s="20" t="e">
        <f>IF(LEN($A11&gt;0),LOOKUP($A11,Classes,Classes!AC$3:AC$18))</f>
        <v>#N/A</v>
      </c>
      <c r="Z36" s="20" t="e">
        <f>IF(LEN($A11&gt;0),LOOKUP($A11,Classes,Classes!AD$3:AD$18))</f>
        <v>#N/A</v>
      </c>
      <c r="AA36" s="20" t="e">
        <f>IF(LEN($A11&gt;0),LOOKUP($A11,Classes,Classes!AE$3:AE$18))</f>
        <v>#N/A</v>
      </c>
      <c r="AB36" s="20" t="e">
        <f>IF(LEN($A11&gt;0),LOOKUP($A11,Classes,Classes!AF$3:AF$18))</f>
        <v>#N/A</v>
      </c>
      <c r="AC36" s="20" t="e">
        <f>IF(LEN($A11&gt;0),LOOKUP($A11,Classes,Classes!AG$3:AG$18))</f>
        <v>#N/A</v>
      </c>
      <c r="AD36" s="20" t="e">
        <f>IF(LEN($A11&gt;0),LOOKUP($A11,Classes,Classes!AH$3:AH$18))</f>
        <v>#N/A</v>
      </c>
      <c r="AE36" s="20" t="e">
        <f>IF(LEN($A11&gt;0),LOOKUP($A11,Classes,Classes!AI$3:AI$18))</f>
        <v>#N/A</v>
      </c>
      <c r="AF36" s="20" t="e">
        <f>IF(LEN($A11&gt;0),LOOKUP($A11,Classes,Classes!AJ$3:AJ$18))</f>
        <v>#N/A</v>
      </c>
      <c r="AG36" s="20" t="e">
        <f>IF(LEN($A11&gt;0),LOOKUP($A11,Classes,Classes!AK$3:AK$18))</f>
        <v>#N/A</v>
      </c>
      <c r="AH36" s="20" t="e">
        <f>IF(LEN($A11&gt;0),LOOKUP($A11,Classes,Classes!AL$3:AL$18))</f>
        <v>#N/A</v>
      </c>
      <c r="AI36" s="20" t="e">
        <f>IF(LEN($A11&gt;0),LOOKUP($A11,Classes,Classes!AM$3:AM$18))</f>
        <v>#N/A</v>
      </c>
      <c r="AJ36" s="20" t="e">
        <f>IF(LEN($A11&gt;0),LOOKUP($A11,Classes,Classes!AN$3:AN$18))</f>
        <v>#N/A</v>
      </c>
      <c r="AK36" s="20" t="e">
        <f>IF(LEN($A11&gt;0),LOOKUP($A11,Classes,Classes!AO$3:AO$18))</f>
        <v>#N/A</v>
      </c>
      <c r="AL36" s="20" t="e">
        <f>IF(LEN($A11&gt;0),LOOKUP($A11,Classes,Classes!AP$3:AP$18))</f>
        <v>#N/A</v>
      </c>
      <c r="AM36" s="20" t="e">
        <f>IF(LEN($A11&gt;0),LOOKUP($A11,Classes,Classes!AQ$3:AQ$18))</f>
        <v>#N/A</v>
      </c>
      <c r="AN36" s="20" t="e">
        <f>IF(LEN($A11&gt;0),LOOKUP($A11,Classes,Classes!AR$3:AR$18))</f>
        <v>#N/A</v>
      </c>
      <c r="AO36" s="20" t="e">
        <f>IF(LEN($A11&gt;0),LOOKUP($A11,Classes,Classes!AS$3:AS$18))</f>
        <v>#N/A</v>
      </c>
      <c r="AP36" s="20" t="e">
        <f>IF(LEN($A11&gt;0),LOOKUP($A11,Classes,Classes!AT$3:AT$18))</f>
        <v>#N/A</v>
      </c>
      <c r="AQ36" s="20" t="e">
        <f>IF(LEN($A11&gt;0),LOOKUP($A11,Classes,Classes!AU$3:AU$18))</f>
        <v>#N/A</v>
      </c>
      <c r="AR36" s="20" t="e">
        <f>IF(LEN($A11&gt;0),LOOKUP($A11,Classes,Classes!AV$3:AV$18))</f>
        <v>#N/A</v>
      </c>
      <c r="AS36" s="20" t="e">
        <f>IF(LEN($A11&gt;0),LOOKUP($A11,Classes,Classes!AW$3:AW$18))</f>
        <v>#N/A</v>
      </c>
      <c r="AT36" s="20" t="e">
        <f>IF(LEN($A11&gt;0),LOOKUP($A11,Classes,Classes!AX$3:AX$18))</f>
        <v>#N/A</v>
      </c>
      <c r="AU36" s="20" t="e">
        <f>IF(LEN($A11&gt;0),LOOKUP($A11,Classes,Classes!AY$3:AY$18))</f>
        <v>#N/A</v>
      </c>
      <c r="AV36" s="20" t="e">
        <f>IF(LEN($A11&gt;0),LOOKUP($A11,Classes,Classes!AZ$3:AZ$18))</f>
        <v>#N/A</v>
      </c>
      <c r="AW36" s="20" t="e">
        <f>IF(LEN($A11&gt;0),LOOKUP($A11,Classes,Classes!BA$3:BA$18))</f>
        <v>#N/A</v>
      </c>
      <c r="AX36" s="20" t="e">
        <f>IF(LEN($A11&gt;0),LOOKUP($A11,Classes,Classes!BB$3:BB$18))</f>
        <v>#N/A</v>
      </c>
      <c r="AY36" s="20" t="e">
        <f>IF(LEN($A11&gt;0),LOOKUP($A11,Classes,Classes!BC$3:BC$18))</f>
        <v>#N/A</v>
      </c>
      <c r="AZ36" s="20" t="e">
        <f>IF(LEN($A11&gt;0),LOOKUP($A11,Classes,Classes!BD$3:BD$18))</f>
        <v>#N/A</v>
      </c>
      <c r="BA36" s="20" t="e">
        <f>IF(LEN($A11&gt;0),LOOKUP($A11,Classes,Classes!BE$3:BE$18))</f>
        <v>#N/A</v>
      </c>
      <c r="BB36" s="20" t="e">
        <f>IF(LEN($A11&gt;0),LOOKUP($A11,Classes,Classes!BF$3:BF$18))</f>
        <v>#N/A</v>
      </c>
      <c r="BC36" s="20" t="e">
        <f>IF(LEN($A11&gt;0),LOOKUP($A11,Classes,Classes!BG$3:BG$18))</f>
        <v>#N/A</v>
      </c>
      <c r="BD36" s="20" t="e">
        <f>IF(LEN($A11&gt;0),LOOKUP($A11,Classes,Classes!BH$3:BH$18))</f>
        <v>#N/A</v>
      </c>
      <c r="BE36" s="20" t="e">
        <f>IF(LEN($A11&gt;0),LOOKUP($A11,Classes,Classes!BI$3:BI$18))</f>
        <v>#N/A</v>
      </c>
      <c r="BF36" s="20" t="e">
        <f>IF(LEN($A11&gt;0),LOOKUP($A11,Classes,Classes!BJ$3:BJ$18))</f>
        <v>#N/A</v>
      </c>
    </row>
    <row r="37" spans="7:58" ht="12.75">
      <c r="G37" s="20" t="e">
        <f>IF(LEN($A12&gt;0),LOOKUP($A12,Classes,Classes!K$3:K$18))</f>
        <v>#N/A</v>
      </c>
      <c r="H37" s="20" t="e">
        <f>IF(LEN($A12&gt;0),LOOKUP($A12,Classes,Classes!L$3:L$18))</f>
        <v>#N/A</v>
      </c>
      <c r="I37" s="20" t="e">
        <f>IF(LEN($A12&gt;0),LOOKUP($A12,Classes,Classes!M$3:M$18))</f>
        <v>#N/A</v>
      </c>
      <c r="J37" s="20" t="e">
        <f>IF(LEN($A12&gt;0),LOOKUP($A12,Classes,Classes!N$3:N$18))</f>
        <v>#N/A</v>
      </c>
      <c r="K37" s="20" t="e">
        <f>IF(LEN($A12&gt;0),LOOKUP($A12,Classes,Classes!O$3:O$18))</f>
        <v>#N/A</v>
      </c>
      <c r="L37" s="20" t="e">
        <f>IF(LEN($A12&gt;0),LOOKUP($A12,Classes,Classes!P$3:P$18))</f>
        <v>#N/A</v>
      </c>
      <c r="M37" s="20" t="e">
        <f>IF(LEN($A12&gt;0),LOOKUP($A12,Classes,Classes!Q$3:Q$18))</f>
        <v>#N/A</v>
      </c>
      <c r="N37" s="20" t="e">
        <f>IF(LEN($A12&gt;0),LOOKUP($A12,Classes,Classes!R$3:R$18))</f>
        <v>#N/A</v>
      </c>
      <c r="O37" s="20" t="e">
        <f>IF(LEN($A12&gt;0),LOOKUP($A12,Classes,Classes!S$3:S$18))</f>
        <v>#N/A</v>
      </c>
      <c r="P37" s="20" t="e">
        <f>IF(LEN($A12&gt;0),LOOKUP($A12,Classes,Classes!T$3:T$18))</f>
        <v>#N/A</v>
      </c>
      <c r="Q37" s="20" t="e">
        <f>IF(LEN($A12&gt;0),LOOKUP($A12,Classes,Classes!U$3:U$18))</f>
        <v>#N/A</v>
      </c>
      <c r="R37" s="20" t="e">
        <f>IF(LEN($A12&gt;0),LOOKUP($A12,Classes,Classes!V$3:V$18))</f>
        <v>#N/A</v>
      </c>
      <c r="S37" s="20" t="e">
        <f>IF(LEN($A12&gt;0),LOOKUP($A12,Classes,Classes!W$3:W$18))</f>
        <v>#N/A</v>
      </c>
      <c r="T37" s="20" t="e">
        <f>IF(LEN($A12&gt;0),LOOKUP($A12,Classes,Classes!X$3:X$18))</f>
        <v>#N/A</v>
      </c>
      <c r="U37" s="20" t="e">
        <f>IF(LEN($A12&gt;0),LOOKUP($A12,Classes,Classes!Y$3:Y$18))</f>
        <v>#N/A</v>
      </c>
      <c r="V37" s="20" t="e">
        <f>IF(LEN($A12&gt;0),LOOKUP($A12,Classes,Classes!Z$3:Z$18))</f>
        <v>#N/A</v>
      </c>
      <c r="W37" s="20" t="e">
        <f>IF(LEN($A12&gt;0),LOOKUP($A12,Classes,Classes!AA$3:AA$18))</f>
        <v>#N/A</v>
      </c>
      <c r="X37" s="20" t="e">
        <f>IF(LEN($A12&gt;0),LOOKUP($A12,Classes,Classes!AB$3:AB$18))</f>
        <v>#N/A</v>
      </c>
      <c r="Y37" s="20" t="e">
        <f>IF(LEN($A12&gt;0),LOOKUP($A12,Classes,Classes!AC$3:AC$18))</f>
        <v>#N/A</v>
      </c>
      <c r="Z37" s="20" t="e">
        <f>IF(LEN($A12&gt;0),LOOKUP($A12,Classes,Classes!AD$3:AD$18))</f>
        <v>#N/A</v>
      </c>
      <c r="AA37" s="20" t="e">
        <f>IF(LEN($A12&gt;0),LOOKUP($A12,Classes,Classes!AE$3:AE$18))</f>
        <v>#N/A</v>
      </c>
      <c r="AB37" s="20" t="e">
        <f>IF(LEN($A12&gt;0),LOOKUP($A12,Classes,Classes!AF$3:AF$18))</f>
        <v>#N/A</v>
      </c>
      <c r="AC37" s="20" t="e">
        <f>IF(LEN($A12&gt;0),LOOKUP($A12,Classes,Classes!AG$3:AG$18))</f>
        <v>#N/A</v>
      </c>
      <c r="AD37" s="20" t="e">
        <f>IF(LEN($A12&gt;0),LOOKUP($A12,Classes,Classes!AH$3:AH$18))</f>
        <v>#N/A</v>
      </c>
      <c r="AE37" s="20" t="e">
        <f>IF(LEN($A12&gt;0),LOOKUP($A12,Classes,Classes!AI$3:AI$18))</f>
        <v>#N/A</v>
      </c>
      <c r="AF37" s="20" t="e">
        <f>IF(LEN($A12&gt;0),LOOKUP($A12,Classes,Classes!AJ$3:AJ$18))</f>
        <v>#N/A</v>
      </c>
      <c r="AG37" s="20" t="e">
        <f>IF(LEN($A12&gt;0),LOOKUP($A12,Classes,Classes!AK$3:AK$18))</f>
        <v>#N/A</v>
      </c>
      <c r="AH37" s="20" t="e">
        <f>IF(LEN($A12&gt;0),LOOKUP($A12,Classes,Classes!AL$3:AL$18))</f>
        <v>#N/A</v>
      </c>
      <c r="AI37" s="20" t="e">
        <f>IF(LEN($A12&gt;0),LOOKUP($A12,Classes,Classes!AM$3:AM$18))</f>
        <v>#N/A</v>
      </c>
      <c r="AJ37" s="20" t="e">
        <f>IF(LEN($A12&gt;0),LOOKUP($A12,Classes,Classes!AN$3:AN$18))</f>
        <v>#N/A</v>
      </c>
      <c r="AK37" s="20" t="e">
        <f>IF(LEN($A12&gt;0),LOOKUP($A12,Classes,Classes!AO$3:AO$18))</f>
        <v>#N/A</v>
      </c>
      <c r="AL37" s="20" t="e">
        <f>IF(LEN($A12&gt;0),LOOKUP($A12,Classes,Classes!AP$3:AP$18))</f>
        <v>#N/A</v>
      </c>
      <c r="AM37" s="20" t="e">
        <f>IF(LEN($A12&gt;0),LOOKUP($A12,Classes,Classes!AQ$3:AQ$18))</f>
        <v>#N/A</v>
      </c>
      <c r="AN37" s="20" t="e">
        <f>IF(LEN($A12&gt;0),LOOKUP($A12,Classes,Classes!AR$3:AR$18))</f>
        <v>#N/A</v>
      </c>
      <c r="AO37" s="20" t="e">
        <f>IF(LEN($A12&gt;0),LOOKUP($A12,Classes,Classes!AS$3:AS$18))</f>
        <v>#N/A</v>
      </c>
      <c r="AP37" s="20" t="e">
        <f>IF(LEN($A12&gt;0),LOOKUP($A12,Classes,Classes!AT$3:AT$18))</f>
        <v>#N/A</v>
      </c>
      <c r="AQ37" s="20" t="e">
        <f>IF(LEN($A12&gt;0),LOOKUP($A12,Classes,Classes!AU$3:AU$18))</f>
        <v>#N/A</v>
      </c>
      <c r="AR37" s="20" t="e">
        <f>IF(LEN($A12&gt;0),LOOKUP($A12,Classes,Classes!AV$3:AV$18))</f>
        <v>#N/A</v>
      </c>
      <c r="AS37" s="20" t="e">
        <f>IF(LEN($A12&gt;0),LOOKUP($A12,Classes,Classes!AW$3:AW$18))</f>
        <v>#N/A</v>
      </c>
      <c r="AT37" s="20" t="e">
        <f>IF(LEN($A12&gt;0),LOOKUP($A12,Classes,Classes!AX$3:AX$18))</f>
        <v>#N/A</v>
      </c>
      <c r="AU37" s="20" t="e">
        <f>IF(LEN($A12&gt;0),LOOKUP($A12,Classes,Classes!AY$3:AY$18))</f>
        <v>#N/A</v>
      </c>
      <c r="AV37" s="20" t="e">
        <f>IF(LEN($A12&gt;0),LOOKUP($A12,Classes,Classes!AZ$3:AZ$18))</f>
        <v>#N/A</v>
      </c>
      <c r="AW37" s="20" t="e">
        <f>IF(LEN($A12&gt;0),LOOKUP($A12,Classes,Classes!BA$3:BA$18))</f>
        <v>#N/A</v>
      </c>
      <c r="AX37" s="20" t="e">
        <f>IF(LEN($A12&gt;0),LOOKUP($A12,Classes,Classes!BB$3:BB$18))</f>
        <v>#N/A</v>
      </c>
      <c r="AY37" s="20" t="e">
        <f>IF(LEN($A12&gt;0),LOOKUP($A12,Classes,Classes!BC$3:BC$18))</f>
        <v>#N/A</v>
      </c>
      <c r="AZ37" s="20" t="e">
        <f>IF(LEN($A12&gt;0),LOOKUP($A12,Classes,Classes!BD$3:BD$18))</f>
        <v>#N/A</v>
      </c>
      <c r="BA37" s="20" t="e">
        <f>IF(LEN($A12&gt;0),LOOKUP($A12,Classes,Classes!BE$3:BE$18))</f>
        <v>#N/A</v>
      </c>
      <c r="BB37" s="20" t="e">
        <f>IF(LEN($A12&gt;0),LOOKUP($A12,Classes,Classes!BF$3:BF$18))</f>
        <v>#N/A</v>
      </c>
      <c r="BC37" s="20" t="e">
        <f>IF(LEN($A12&gt;0),LOOKUP($A12,Classes,Classes!BG$3:BG$18))</f>
        <v>#N/A</v>
      </c>
      <c r="BD37" s="20" t="e">
        <f>IF(LEN($A12&gt;0),LOOKUP($A12,Classes,Classes!BH$3:BH$18))</f>
        <v>#N/A</v>
      </c>
      <c r="BE37" s="20" t="e">
        <f>IF(LEN($A12&gt;0),LOOKUP($A12,Classes,Classes!BI$3:BI$18))</f>
        <v>#N/A</v>
      </c>
      <c r="BF37" s="20" t="e">
        <f>IF(LEN($A12&gt;0),LOOKUP($A12,Classes,Classes!BJ$3:BJ$18))</f>
        <v>#N/A</v>
      </c>
    </row>
    <row r="38" spans="7:58" ht="12.75">
      <c r="G38" s="20" t="e">
        <f>IF(LEN($A13&gt;0),LOOKUP($A13,Classes,Classes!K$3:K$18))</f>
        <v>#N/A</v>
      </c>
      <c r="H38" s="20" t="e">
        <f>IF(LEN($A13&gt;0),LOOKUP($A13,Classes,Classes!L$3:L$18))</f>
        <v>#N/A</v>
      </c>
      <c r="I38" s="20" t="e">
        <f>IF(LEN($A13&gt;0),LOOKUP($A13,Classes,Classes!M$3:M$18))</f>
        <v>#N/A</v>
      </c>
      <c r="J38" s="20" t="e">
        <f>IF(LEN($A13&gt;0),LOOKUP($A13,Classes,Classes!N$3:N$18))</f>
        <v>#N/A</v>
      </c>
      <c r="K38" s="20" t="e">
        <f>IF(LEN($A13&gt;0),LOOKUP($A13,Classes,Classes!O$3:O$18))</f>
        <v>#N/A</v>
      </c>
      <c r="L38" s="20" t="e">
        <f>IF(LEN($A13&gt;0),LOOKUP($A13,Classes,Classes!P$3:P$18))</f>
        <v>#N/A</v>
      </c>
      <c r="M38" s="20" t="e">
        <f>IF(LEN($A13&gt;0),LOOKUP($A13,Classes,Classes!Q$3:Q$18))</f>
        <v>#N/A</v>
      </c>
      <c r="N38" s="20" t="e">
        <f>IF(LEN($A13&gt;0),LOOKUP($A13,Classes,Classes!R$3:R$18))</f>
        <v>#N/A</v>
      </c>
      <c r="O38" s="20" t="e">
        <f>IF(LEN($A13&gt;0),LOOKUP($A13,Classes,Classes!S$3:S$18))</f>
        <v>#N/A</v>
      </c>
      <c r="P38" s="20" t="e">
        <f>IF(LEN($A13&gt;0),LOOKUP($A13,Classes,Classes!T$3:T$18))</f>
        <v>#N/A</v>
      </c>
      <c r="Q38" s="20" t="e">
        <f>IF(LEN($A13&gt;0),LOOKUP($A13,Classes,Classes!U$3:U$18))</f>
        <v>#N/A</v>
      </c>
      <c r="R38" s="20" t="e">
        <f>IF(LEN($A13&gt;0),LOOKUP($A13,Classes,Classes!V$3:V$18))</f>
        <v>#N/A</v>
      </c>
      <c r="S38" s="20" t="e">
        <f>IF(LEN($A13&gt;0),LOOKUP($A13,Classes,Classes!W$3:W$18))</f>
        <v>#N/A</v>
      </c>
      <c r="T38" s="20" t="e">
        <f>IF(LEN($A13&gt;0),LOOKUP($A13,Classes,Classes!X$3:X$18))</f>
        <v>#N/A</v>
      </c>
      <c r="U38" s="20" t="e">
        <f>IF(LEN($A13&gt;0),LOOKUP($A13,Classes,Classes!Y$3:Y$18))</f>
        <v>#N/A</v>
      </c>
      <c r="V38" s="20" t="e">
        <f>IF(LEN($A13&gt;0),LOOKUP($A13,Classes,Classes!Z$3:Z$18))</f>
        <v>#N/A</v>
      </c>
      <c r="W38" s="20" t="e">
        <f>IF(LEN($A13&gt;0),LOOKUP($A13,Classes,Classes!AA$3:AA$18))</f>
        <v>#N/A</v>
      </c>
      <c r="X38" s="20" t="e">
        <f>IF(LEN($A13&gt;0),LOOKUP($A13,Classes,Classes!AB$3:AB$18))</f>
        <v>#N/A</v>
      </c>
      <c r="Y38" s="20" t="e">
        <f>IF(LEN($A13&gt;0),LOOKUP($A13,Classes,Classes!AC$3:AC$18))</f>
        <v>#N/A</v>
      </c>
      <c r="Z38" s="20" t="e">
        <f>IF(LEN($A13&gt;0),LOOKUP($A13,Classes,Classes!AD$3:AD$18))</f>
        <v>#N/A</v>
      </c>
      <c r="AA38" s="20" t="e">
        <f>IF(LEN($A13&gt;0),LOOKUP($A13,Classes,Classes!AE$3:AE$18))</f>
        <v>#N/A</v>
      </c>
      <c r="AB38" s="20" t="e">
        <f>IF(LEN($A13&gt;0),LOOKUP($A13,Classes,Classes!AF$3:AF$18))</f>
        <v>#N/A</v>
      </c>
      <c r="AC38" s="20" t="e">
        <f>IF(LEN($A13&gt;0),LOOKUP($A13,Classes,Classes!AG$3:AG$18))</f>
        <v>#N/A</v>
      </c>
      <c r="AD38" s="20" t="e">
        <f>IF(LEN($A13&gt;0),LOOKUP($A13,Classes,Classes!AH$3:AH$18))</f>
        <v>#N/A</v>
      </c>
      <c r="AE38" s="20" t="e">
        <f>IF(LEN($A13&gt;0),LOOKUP($A13,Classes,Classes!AI$3:AI$18))</f>
        <v>#N/A</v>
      </c>
      <c r="AF38" s="20" t="e">
        <f>IF(LEN($A13&gt;0),LOOKUP($A13,Classes,Classes!AJ$3:AJ$18))</f>
        <v>#N/A</v>
      </c>
      <c r="AG38" s="20" t="e">
        <f>IF(LEN($A13&gt;0),LOOKUP($A13,Classes,Classes!AK$3:AK$18))</f>
        <v>#N/A</v>
      </c>
      <c r="AH38" s="20" t="e">
        <f>IF(LEN($A13&gt;0),LOOKUP($A13,Classes,Classes!AL$3:AL$18))</f>
        <v>#N/A</v>
      </c>
      <c r="AI38" s="20" t="e">
        <f>IF(LEN($A13&gt;0),LOOKUP($A13,Classes,Classes!AM$3:AM$18))</f>
        <v>#N/A</v>
      </c>
      <c r="AJ38" s="20" t="e">
        <f>IF(LEN($A13&gt;0),LOOKUP($A13,Classes,Classes!AN$3:AN$18))</f>
        <v>#N/A</v>
      </c>
      <c r="AK38" s="20" t="e">
        <f>IF(LEN($A13&gt;0),LOOKUP($A13,Classes,Classes!AO$3:AO$18))</f>
        <v>#N/A</v>
      </c>
      <c r="AL38" s="20" t="e">
        <f>IF(LEN($A13&gt;0),LOOKUP($A13,Classes,Classes!AP$3:AP$18))</f>
        <v>#N/A</v>
      </c>
      <c r="AM38" s="20" t="e">
        <f>IF(LEN($A13&gt;0),LOOKUP($A13,Classes,Classes!AQ$3:AQ$18))</f>
        <v>#N/A</v>
      </c>
      <c r="AN38" s="20" t="e">
        <f>IF(LEN($A13&gt;0),LOOKUP($A13,Classes,Classes!AR$3:AR$18))</f>
        <v>#N/A</v>
      </c>
      <c r="AO38" s="20" t="e">
        <f>IF(LEN($A13&gt;0),LOOKUP($A13,Classes,Classes!AS$3:AS$18))</f>
        <v>#N/A</v>
      </c>
      <c r="AP38" s="20" t="e">
        <f>IF(LEN($A13&gt;0),LOOKUP($A13,Classes,Classes!AT$3:AT$18))</f>
        <v>#N/A</v>
      </c>
      <c r="AQ38" s="20" t="e">
        <f>IF(LEN($A13&gt;0),LOOKUP($A13,Classes,Classes!AU$3:AU$18))</f>
        <v>#N/A</v>
      </c>
      <c r="AR38" s="20" t="e">
        <f>IF(LEN($A13&gt;0),LOOKUP($A13,Classes,Classes!AV$3:AV$18))</f>
        <v>#N/A</v>
      </c>
      <c r="AS38" s="20" t="e">
        <f>IF(LEN($A13&gt;0),LOOKUP($A13,Classes,Classes!AW$3:AW$18))</f>
        <v>#N/A</v>
      </c>
      <c r="AT38" s="20" t="e">
        <f>IF(LEN($A13&gt;0),LOOKUP($A13,Classes,Classes!AX$3:AX$18))</f>
        <v>#N/A</v>
      </c>
      <c r="AU38" s="20" t="e">
        <f>IF(LEN($A13&gt;0),LOOKUP($A13,Classes,Classes!AY$3:AY$18))</f>
        <v>#N/A</v>
      </c>
      <c r="AV38" s="20" t="e">
        <f>IF(LEN($A13&gt;0),LOOKUP($A13,Classes,Classes!AZ$3:AZ$18))</f>
        <v>#N/A</v>
      </c>
      <c r="AW38" s="20" t="e">
        <f>IF(LEN($A13&gt;0),LOOKUP($A13,Classes,Classes!BA$3:BA$18))</f>
        <v>#N/A</v>
      </c>
      <c r="AX38" s="20" t="e">
        <f>IF(LEN($A13&gt;0),LOOKUP($A13,Classes,Classes!BB$3:BB$18))</f>
        <v>#N/A</v>
      </c>
      <c r="AY38" s="20" t="e">
        <f>IF(LEN($A13&gt;0),LOOKUP($A13,Classes,Classes!BC$3:BC$18))</f>
        <v>#N/A</v>
      </c>
      <c r="AZ38" s="20" t="e">
        <f>IF(LEN($A13&gt;0),LOOKUP($A13,Classes,Classes!BD$3:BD$18))</f>
        <v>#N/A</v>
      </c>
      <c r="BA38" s="20" t="e">
        <f>IF(LEN($A13&gt;0),LOOKUP($A13,Classes,Classes!BE$3:BE$18))</f>
        <v>#N/A</v>
      </c>
      <c r="BB38" s="20" t="e">
        <f>IF(LEN($A13&gt;0),LOOKUP($A13,Classes,Classes!BF$3:BF$18))</f>
        <v>#N/A</v>
      </c>
      <c r="BC38" s="20" t="e">
        <f>IF(LEN($A13&gt;0),LOOKUP($A13,Classes,Classes!BG$3:BG$18))</f>
        <v>#N/A</v>
      </c>
      <c r="BD38" s="20" t="e">
        <f>IF(LEN($A13&gt;0),LOOKUP($A13,Classes,Classes!BH$3:BH$18))</f>
        <v>#N/A</v>
      </c>
      <c r="BE38" s="20" t="e">
        <f>IF(LEN($A13&gt;0),LOOKUP($A13,Classes,Classes!BI$3:BI$18))</f>
        <v>#N/A</v>
      </c>
      <c r="BF38" s="20" t="e">
        <f>IF(LEN($A13&gt;0),LOOKUP($A13,Classes,Classes!BJ$3:BJ$18))</f>
        <v>#N/A</v>
      </c>
    </row>
    <row r="39" spans="7:58" ht="12.75">
      <c r="G39" s="20" t="e">
        <f>IF(LEN($A14&gt;0),LOOKUP($A14,Classes,Classes!K$3:K$18))</f>
        <v>#N/A</v>
      </c>
      <c r="H39" s="20" t="e">
        <f>IF(LEN($A14&gt;0),LOOKUP($A14,Classes,Classes!L$3:L$18))</f>
        <v>#N/A</v>
      </c>
      <c r="I39" s="20" t="e">
        <f>IF(LEN($A14&gt;0),LOOKUP($A14,Classes,Classes!M$3:M$18))</f>
        <v>#N/A</v>
      </c>
      <c r="J39" s="20" t="e">
        <f>IF(LEN($A14&gt;0),LOOKUP($A14,Classes,Classes!N$3:N$18))</f>
        <v>#N/A</v>
      </c>
      <c r="K39" s="20" t="e">
        <f>IF(LEN($A14&gt;0),LOOKUP($A14,Classes,Classes!O$3:O$18))</f>
        <v>#N/A</v>
      </c>
      <c r="L39" s="20" t="e">
        <f>IF(LEN($A14&gt;0),LOOKUP($A14,Classes,Classes!P$3:P$18))</f>
        <v>#N/A</v>
      </c>
      <c r="M39" s="20" t="e">
        <f>IF(LEN($A14&gt;0),LOOKUP($A14,Classes,Classes!Q$3:Q$18))</f>
        <v>#N/A</v>
      </c>
      <c r="N39" s="20" t="e">
        <f>IF(LEN($A14&gt;0),LOOKUP($A14,Classes,Classes!R$3:R$18))</f>
        <v>#N/A</v>
      </c>
      <c r="O39" s="20" t="e">
        <f>IF(LEN($A14&gt;0),LOOKUP($A14,Classes,Classes!S$3:S$18))</f>
        <v>#N/A</v>
      </c>
      <c r="P39" s="20" t="e">
        <f>IF(LEN($A14&gt;0),LOOKUP($A14,Classes,Classes!T$3:T$18))</f>
        <v>#N/A</v>
      </c>
      <c r="Q39" s="20" t="e">
        <f>IF(LEN($A14&gt;0),LOOKUP($A14,Classes,Classes!U$3:U$18))</f>
        <v>#N/A</v>
      </c>
      <c r="R39" s="20" t="e">
        <f>IF(LEN($A14&gt;0),LOOKUP($A14,Classes,Classes!V$3:V$18))</f>
        <v>#N/A</v>
      </c>
      <c r="S39" s="20" t="e">
        <f>IF(LEN($A14&gt;0),LOOKUP($A14,Classes,Classes!W$3:W$18))</f>
        <v>#N/A</v>
      </c>
      <c r="T39" s="20" t="e">
        <f>IF(LEN($A14&gt;0),LOOKUP($A14,Classes,Classes!X$3:X$18))</f>
        <v>#N/A</v>
      </c>
      <c r="U39" s="20" t="e">
        <f>IF(LEN($A14&gt;0),LOOKUP($A14,Classes,Classes!Y$3:Y$18))</f>
        <v>#N/A</v>
      </c>
      <c r="V39" s="20" t="e">
        <f>IF(LEN($A14&gt;0),LOOKUP($A14,Classes,Classes!Z$3:Z$18))</f>
        <v>#N/A</v>
      </c>
      <c r="W39" s="20" t="e">
        <f>IF(LEN($A14&gt;0),LOOKUP($A14,Classes,Classes!AA$3:AA$18))</f>
        <v>#N/A</v>
      </c>
      <c r="X39" s="20" t="e">
        <f>IF(LEN($A14&gt;0),LOOKUP($A14,Classes,Classes!AB$3:AB$18))</f>
        <v>#N/A</v>
      </c>
      <c r="Y39" s="20" t="e">
        <f>IF(LEN($A14&gt;0),LOOKUP($A14,Classes,Classes!AC$3:AC$18))</f>
        <v>#N/A</v>
      </c>
      <c r="Z39" s="20" t="e">
        <f>IF(LEN($A14&gt;0),LOOKUP($A14,Classes,Classes!AD$3:AD$18))</f>
        <v>#N/A</v>
      </c>
      <c r="AA39" s="20" t="e">
        <f>IF(LEN($A14&gt;0),LOOKUP($A14,Classes,Classes!AE$3:AE$18))</f>
        <v>#N/A</v>
      </c>
      <c r="AB39" s="20" t="e">
        <f>IF(LEN($A14&gt;0),LOOKUP($A14,Classes,Classes!AF$3:AF$18))</f>
        <v>#N/A</v>
      </c>
      <c r="AC39" s="20" t="e">
        <f>IF(LEN($A14&gt;0),LOOKUP($A14,Classes,Classes!AG$3:AG$18))</f>
        <v>#N/A</v>
      </c>
      <c r="AD39" s="20" t="e">
        <f>IF(LEN($A14&gt;0),LOOKUP($A14,Classes,Classes!AH$3:AH$18))</f>
        <v>#N/A</v>
      </c>
      <c r="AE39" s="20" t="e">
        <f>IF(LEN($A14&gt;0),LOOKUP($A14,Classes,Classes!AI$3:AI$18))</f>
        <v>#N/A</v>
      </c>
      <c r="AF39" s="20" t="e">
        <f>IF(LEN($A14&gt;0),LOOKUP($A14,Classes,Classes!AJ$3:AJ$18))</f>
        <v>#N/A</v>
      </c>
      <c r="AG39" s="20" t="e">
        <f>IF(LEN($A14&gt;0),LOOKUP($A14,Classes,Classes!AK$3:AK$18))</f>
        <v>#N/A</v>
      </c>
      <c r="AH39" s="20" t="e">
        <f>IF(LEN($A14&gt;0),LOOKUP($A14,Classes,Classes!AL$3:AL$18))</f>
        <v>#N/A</v>
      </c>
      <c r="AI39" s="20" t="e">
        <f>IF(LEN($A14&gt;0),LOOKUP($A14,Classes,Classes!AM$3:AM$18))</f>
        <v>#N/A</v>
      </c>
      <c r="AJ39" s="20" t="e">
        <f>IF(LEN($A14&gt;0),LOOKUP($A14,Classes,Classes!AN$3:AN$18))</f>
        <v>#N/A</v>
      </c>
      <c r="AK39" s="20" t="e">
        <f>IF(LEN($A14&gt;0),LOOKUP($A14,Classes,Classes!AO$3:AO$18))</f>
        <v>#N/A</v>
      </c>
      <c r="AL39" s="20" t="e">
        <f>IF(LEN($A14&gt;0),LOOKUP($A14,Classes,Classes!AP$3:AP$18))</f>
        <v>#N/A</v>
      </c>
      <c r="AM39" s="20" t="e">
        <f>IF(LEN($A14&gt;0),LOOKUP($A14,Classes,Classes!AQ$3:AQ$18))</f>
        <v>#N/A</v>
      </c>
      <c r="AN39" s="20" t="e">
        <f>IF(LEN($A14&gt;0),LOOKUP($A14,Classes,Classes!AR$3:AR$18))</f>
        <v>#N/A</v>
      </c>
      <c r="AO39" s="20" t="e">
        <f>IF(LEN($A14&gt;0),LOOKUP($A14,Classes,Classes!AS$3:AS$18))</f>
        <v>#N/A</v>
      </c>
      <c r="AP39" s="20" t="e">
        <f>IF(LEN($A14&gt;0),LOOKUP($A14,Classes,Classes!AT$3:AT$18))</f>
        <v>#N/A</v>
      </c>
      <c r="AQ39" s="20" t="e">
        <f>IF(LEN($A14&gt;0),LOOKUP($A14,Classes,Classes!AU$3:AU$18))</f>
        <v>#N/A</v>
      </c>
      <c r="AR39" s="20" t="e">
        <f>IF(LEN($A14&gt;0),LOOKUP($A14,Classes,Classes!AV$3:AV$18))</f>
        <v>#N/A</v>
      </c>
      <c r="AS39" s="20" t="e">
        <f>IF(LEN($A14&gt;0),LOOKUP($A14,Classes,Classes!AW$3:AW$18))</f>
        <v>#N/A</v>
      </c>
      <c r="AT39" s="20" t="e">
        <f>IF(LEN($A14&gt;0),LOOKUP($A14,Classes,Classes!AX$3:AX$18))</f>
        <v>#N/A</v>
      </c>
      <c r="AU39" s="20" t="e">
        <f>IF(LEN($A14&gt;0),LOOKUP($A14,Classes,Classes!AY$3:AY$18))</f>
        <v>#N/A</v>
      </c>
      <c r="AV39" s="20" t="e">
        <f>IF(LEN($A14&gt;0),LOOKUP($A14,Classes,Classes!AZ$3:AZ$18))</f>
        <v>#N/A</v>
      </c>
      <c r="AW39" s="20" t="e">
        <f>IF(LEN($A14&gt;0),LOOKUP($A14,Classes,Classes!BA$3:BA$18))</f>
        <v>#N/A</v>
      </c>
      <c r="AX39" s="20" t="e">
        <f>IF(LEN($A14&gt;0),LOOKUP($A14,Classes,Classes!BB$3:BB$18))</f>
        <v>#N/A</v>
      </c>
      <c r="AY39" s="20" t="e">
        <f>IF(LEN($A14&gt;0),LOOKUP($A14,Classes,Classes!BC$3:BC$18))</f>
        <v>#N/A</v>
      </c>
      <c r="AZ39" s="20" t="e">
        <f>IF(LEN($A14&gt;0),LOOKUP($A14,Classes,Classes!BD$3:BD$18))</f>
        <v>#N/A</v>
      </c>
      <c r="BA39" s="20" t="e">
        <f>IF(LEN($A14&gt;0),LOOKUP($A14,Classes,Classes!BE$3:BE$18))</f>
        <v>#N/A</v>
      </c>
      <c r="BB39" s="20" t="e">
        <f>IF(LEN($A14&gt;0),LOOKUP($A14,Classes,Classes!BF$3:BF$18))</f>
        <v>#N/A</v>
      </c>
      <c r="BC39" s="20" t="e">
        <f>IF(LEN($A14&gt;0),LOOKUP($A14,Classes,Classes!BG$3:BG$18))</f>
        <v>#N/A</v>
      </c>
      <c r="BD39" s="20" t="e">
        <f>IF(LEN($A14&gt;0),LOOKUP($A14,Classes,Classes!BH$3:BH$18))</f>
        <v>#N/A</v>
      </c>
      <c r="BE39" s="20" t="e">
        <f>IF(LEN($A14&gt;0),LOOKUP($A14,Classes,Classes!BI$3:BI$18))</f>
        <v>#N/A</v>
      </c>
      <c r="BF39" s="20" t="e">
        <f>IF(LEN($A14&gt;0),LOOKUP($A14,Classes,Classes!BJ$3:BJ$18))</f>
        <v>#N/A</v>
      </c>
    </row>
    <row r="40" spans="7:58" ht="12.75">
      <c r="G40" s="20" t="e">
        <f>IF(LEN($A15&gt;0),LOOKUP($A15,Classes,Classes!K$3:K$18))</f>
        <v>#N/A</v>
      </c>
      <c r="H40" s="20" t="e">
        <f>IF(LEN($A15&gt;0),LOOKUP($A15,Classes,Classes!L$3:L$18))</f>
        <v>#N/A</v>
      </c>
      <c r="I40" s="20" t="e">
        <f>IF(LEN($A15&gt;0),LOOKUP($A15,Classes,Classes!M$3:M$18))</f>
        <v>#N/A</v>
      </c>
      <c r="J40" s="20" t="e">
        <f>IF(LEN($A15&gt;0),LOOKUP($A15,Classes,Classes!N$3:N$18))</f>
        <v>#N/A</v>
      </c>
      <c r="K40" s="20" t="e">
        <f>IF(LEN($A15&gt;0),LOOKUP($A15,Classes,Classes!O$3:O$18))</f>
        <v>#N/A</v>
      </c>
      <c r="L40" s="20" t="e">
        <f>IF(LEN($A15&gt;0),LOOKUP($A15,Classes,Classes!P$3:P$18))</f>
        <v>#N/A</v>
      </c>
      <c r="M40" s="20" t="e">
        <f>IF(LEN($A15&gt;0),LOOKUP($A15,Classes,Classes!Q$3:Q$18))</f>
        <v>#N/A</v>
      </c>
      <c r="N40" s="20" t="e">
        <f>IF(LEN($A15&gt;0),LOOKUP($A15,Classes,Classes!R$3:R$18))</f>
        <v>#N/A</v>
      </c>
      <c r="O40" s="20" t="e">
        <f>IF(LEN($A15&gt;0),LOOKUP($A15,Classes,Classes!S$3:S$18))</f>
        <v>#N/A</v>
      </c>
      <c r="P40" s="20" t="e">
        <f>IF(LEN($A15&gt;0),LOOKUP($A15,Classes,Classes!T$3:T$18))</f>
        <v>#N/A</v>
      </c>
      <c r="Q40" s="20" t="e">
        <f>IF(LEN($A15&gt;0),LOOKUP($A15,Classes,Classes!U$3:U$18))</f>
        <v>#N/A</v>
      </c>
      <c r="R40" s="20" t="e">
        <f>IF(LEN($A15&gt;0),LOOKUP($A15,Classes,Classes!V$3:V$18))</f>
        <v>#N/A</v>
      </c>
      <c r="S40" s="20" t="e">
        <f>IF(LEN($A15&gt;0),LOOKUP($A15,Classes,Classes!W$3:W$18))</f>
        <v>#N/A</v>
      </c>
      <c r="T40" s="20" t="e">
        <f>IF(LEN($A15&gt;0),LOOKUP($A15,Classes,Classes!X$3:X$18))</f>
        <v>#N/A</v>
      </c>
      <c r="U40" s="20" t="e">
        <f>IF(LEN($A15&gt;0),LOOKUP($A15,Classes,Classes!Y$3:Y$18))</f>
        <v>#N/A</v>
      </c>
      <c r="V40" s="20" t="e">
        <f>IF(LEN($A15&gt;0),LOOKUP($A15,Classes,Classes!Z$3:Z$18))</f>
        <v>#N/A</v>
      </c>
      <c r="W40" s="20" t="e">
        <f>IF(LEN($A15&gt;0),LOOKUP($A15,Classes,Classes!AA$3:AA$18))</f>
        <v>#N/A</v>
      </c>
      <c r="X40" s="20" t="e">
        <f>IF(LEN($A15&gt;0),LOOKUP($A15,Classes,Classes!AB$3:AB$18))</f>
        <v>#N/A</v>
      </c>
      <c r="Y40" s="20" t="e">
        <f>IF(LEN($A15&gt;0),LOOKUP($A15,Classes,Classes!AC$3:AC$18))</f>
        <v>#N/A</v>
      </c>
      <c r="Z40" s="20" t="e">
        <f>IF(LEN($A15&gt;0),LOOKUP($A15,Classes,Classes!AD$3:AD$18))</f>
        <v>#N/A</v>
      </c>
      <c r="AA40" s="20" t="e">
        <f>IF(LEN($A15&gt;0),LOOKUP($A15,Classes,Classes!AE$3:AE$18))</f>
        <v>#N/A</v>
      </c>
      <c r="AB40" s="20" t="e">
        <f>IF(LEN($A15&gt;0),LOOKUP($A15,Classes,Classes!AF$3:AF$18))</f>
        <v>#N/A</v>
      </c>
      <c r="AC40" s="20" t="e">
        <f>IF(LEN($A15&gt;0),LOOKUP($A15,Classes,Classes!AG$3:AG$18))</f>
        <v>#N/A</v>
      </c>
      <c r="AD40" s="20" t="e">
        <f>IF(LEN($A15&gt;0),LOOKUP($A15,Classes,Classes!AH$3:AH$18))</f>
        <v>#N/A</v>
      </c>
      <c r="AE40" s="20" t="e">
        <f>IF(LEN($A15&gt;0),LOOKUP($A15,Classes,Classes!AI$3:AI$18))</f>
        <v>#N/A</v>
      </c>
      <c r="AF40" s="20" t="e">
        <f>IF(LEN($A15&gt;0),LOOKUP($A15,Classes,Classes!AJ$3:AJ$18))</f>
        <v>#N/A</v>
      </c>
      <c r="AG40" s="20" t="e">
        <f>IF(LEN($A15&gt;0),LOOKUP($A15,Classes,Classes!AK$3:AK$18))</f>
        <v>#N/A</v>
      </c>
      <c r="AH40" s="20" t="e">
        <f>IF(LEN($A15&gt;0),LOOKUP($A15,Classes,Classes!AL$3:AL$18))</f>
        <v>#N/A</v>
      </c>
      <c r="AI40" s="20" t="e">
        <f>IF(LEN($A15&gt;0),LOOKUP($A15,Classes,Classes!AM$3:AM$18))</f>
        <v>#N/A</v>
      </c>
      <c r="AJ40" s="20" t="e">
        <f>IF(LEN($A15&gt;0),LOOKUP($A15,Classes,Classes!AN$3:AN$18))</f>
        <v>#N/A</v>
      </c>
      <c r="AK40" s="20" t="e">
        <f>IF(LEN($A15&gt;0),LOOKUP($A15,Classes,Classes!AO$3:AO$18))</f>
        <v>#N/A</v>
      </c>
      <c r="AL40" s="20" t="e">
        <f>IF(LEN($A15&gt;0),LOOKUP($A15,Classes,Classes!AP$3:AP$18))</f>
        <v>#N/A</v>
      </c>
      <c r="AM40" s="20" t="e">
        <f>IF(LEN($A15&gt;0),LOOKUP($A15,Classes,Classes!AQ$3:AQ$18))</f>
        <v>#N/A</v>
      </c>
      <c r="AN40" s="20" t="e">
        <f>IF(LEN($A15&gt;0),LOOKUP($A15,Classes,Classes!AR$3:AR$18))</f>
        <v>#N/A</v>
      </c>
      <c r="AO40" s="20" t="e">
        <f>IF(LEN($A15&gt;0),LOOKUP($A15,Classes,Classes!AS$3:AS$18))</f>
        <v>#N/A</v>
      </c>
      <c r="AP40" s="20" t="e">
        <f>IF(LEN($A15&gt;0),LOOKUP($A15,Classes,Classes!AT$3:AT$18))</f>
        <v>#N/A</v>
      </c>
      <c r="AQ40" s="20" t="e">
        <f>IF(LEN($A15&gt;0),LOOKUP($A15,Classes,Classes!AU$3:AU$18))</f>
        <v>#N/A</v>
      </c>
      <c r="AR40" s="20" t="e">
        <f>IF(LEN($A15&gt;0),LOOKUP($A15,Classes,Classes!AV$3:AV$18))</f>
        <v>#N/A</v>
      </c>
      <c r="AS40" s="20" t="e">
        <f>IF(LEN($A15&gt;0),LOOKUP($A15,Classes,Classes!AW$3:AW$18))</f>
        <v>#N/A</v>
      </c>
      <c r="AT40" s="20" t="e">
        <f>IF(LEN($A15&gt;0),LOOKUP($A15,Classes,Classes!AX$3:AX$18))</f>
        <v>#N/A</v>
      </c>
      <c r="AU40" s="20" t="e">
        <f>IF(LEN($A15&gt;0),LOOKUP($A15,Classes,Classes!AY$3:AY$18))</f>
        <v>#N/A</v>
      </c>
      <c r="AV40" s="20" t="e">
        <f>IF(LEN($A15&gt;0),LOOKUP($A15,Classes,Classes!AZ$3:AZ$18))</f>
        <v>#N/A</v>
      </c>
      <c r="AW40" s="20" t="e">
        <f>IF(LEN($A15&gt;0),LOOKUP($A15,Classes,Classes!BA$3:BA$18))</f>
        <v>#N/A</v>
      </c>
      <c r="AX40" s="20" t="e">
        <f>IF(LEN($A15&gt;0),LOOKUP($A15,Classes,Classes!BB$3:BB$18))</f>
        <v>#N/A</v>
      </c>
      <c r="AY40" s="20" t="e">
        <f>IF(LEN($A15&gt;0),LOOKUP($A15,Classes,Classes!BC$3:BC$18))</f>
        <v>#N/A</v>
      </c>
      <c r="AZ40" s="20" t="e">
        <f>IF(LEN($A15&gt;0),LOOKUP($A15,Classes,Classes!BD$3:BD$18))</f>
        <v>#N/A</v>
      </c>
      <c r="BA40" s="20" t="e">
        <f>IF(LEN($A15&gt;0),LOOKUP($A15,Classes,Classes!BE$3:BE$18))</f>
        <v>#N/A</v>
      </c>
      <c r="BB40" s="20" t="e">
        <f>IF(LEN($A15&gt;0),LOOKUP($A15,Classes,Classes!BF$3:BF$18))</f>
        <v>#N/A</v>
      </c>
      <c r="BC40" s="20" t="e">
        <f>IF(LEN($A15&gt;0),LOOKUP($A15,Classes,Classes!BG$3:BG$18))</f>
        <v>#N/A</v>
      </c>
      <c r="BD40" s="20" t="e">
        <f>IF(LEN($A15&gt;0),LOOKUP($A15,Classes,Classes!BH$3:BH$18))</f>
        <v>#N/A</v>
      </c>
      <c r="BE40" s="20" t="e">
        <f>IF(LEN($A15&gt;0),LOOKUP($A15,Classes,Classes!BI$3:BI$18))</f>
        <v>#N/A</v>
      </c>
      <c r="BF40" s="20" t="e">
        <f>IF(LEN($A15&gt;0),LOOKUP($A15,Classes,Classes!BJ$3:BJ$18))</f>
        <v>#N/A</v>
      </c>
    </row>
    <row r="41" spans="7:58" ht="12.75">
      <c r="G41" s="20" t="e">
        <f>IF(LEN($A16&gt;0),LOOKUP($A16,Classes,Classes!K$3:K$18))</f>
        <v>#N/A</v>
      </c>
      <c r="H41" s="20" t="e">
        <f>IF(LEN($A16&gt;0),LOOKUP($A16,Classes,Classes!L$3:L$18))</f>
        <v>#N/A</v>
      </c>
      <c r="I41" s="20" t="e">
        <f>IF(LEN($A16&gt;0),LOOKUP($A16,Classes,Classes!M$3:M$18))</f>
        <v>#N/A</v>
      </c>
      <c r="J41" s="20" t="e">
        <f>IF(LEN($A16&gt;0),LOOKUP($A16,Classes,Classes!N$3:N$18))</f>
        <v>#N/A</v>
      </c>
      <c r="K41" s="20" t="e">
        <f>IF(LEN($A16&gt;0),LOOKUP($A16,Classes,Classes!O$3:O$18))</f>
        <v>#N/A</v>
      </c>
      <c r="L41" s="20" t="e">
        <f>IF(LEN($A16&gt;0),LOOKUP($A16,Classes,Classes!P$3:P$18))</f>
        <v>#N/A</v>
      </c>
      <c r="M41" s="20" t="e">
        <f>IF(LEN($A16&gt;0),LOOKUP($A16,Classes,Classes!Q$3:Q$18))</f>
        <v>#N/A</v>
      </c>
      <c r="N41" s="20" t="e">
        <f>IF(LEN($A16&gt;0),LOOKUP($A16,Classes,Classes!R$3:R$18))</f>
        <v>#N/A</v>
      </c>
      <c r="O41" s="20" t="e">
        <f>IF(LEN($A16&gt;0),LOOKUP($A16,Classes,Classes!S$3:S$18))</f>
        <v>#N/A</v>
      </c>
      <c r="P41" s="20" t="e">
        <f>IF(LEN($A16&gt;0),LOOKUP($A16,Classes,Classes!T$3:T$18))</f>
        <v>#N/A</v>
      </c>
      <c r="Q41" s="20" t="e">
        <f>IF(LEN($A16&gt;0),LOOKUP($A16,Classes,Classes!U$3:U$18))</f>
        <v>#N/A</v>
      </c>
      <c r="R41" s="20" t="e">
        <f>IF(LEN($A16&gt;0),LOOKUP($A16,Classes,Classes!V$3:V$18))</f>
        <v>#N/A</v>
      </c>
      <c r="S41" s="20" t="e">
        <f>IF(LEN($A16&gt;0),LOOKUP($A16,Classes,Classes!W$3:W$18))</f>
        <v>#N/A</v>
      </c>
      <c r="T41" s="20" t="e">
        <f>IF(LEN($A16&gt;0),LOOKUP($A16,Classes,Classes!X$3:X$18))</f>
        <v>#N/A</v>
      </c>
      <c r="U41" s="20" t="e">
        <f>IF(LEN($A16&gt;0),LOOKUP($A16,Classes,Classes!Y$3:Y$18))</f>
        <v>#N/A</v>
      </c>
      <c r="V41" s="20" t="e">
        <f>IF(LEN($A16&gt;0),LOOKUP($A16,Classes,Classes!Z$3:Z$18))</f>
        <v>#N/A</v>
      </c>
      <c r="W41" s="20" t="e">
        <f>IF(LEN($A16&gt;0),LOOKUP($A16,Classes,Classes!AA$3:AA$18))</f>
        <v>#N/A</v>
      </c>
      <c r="X41" s="20" t="e">
        <f>IF(LEN($A16&gt;0),LOOKUP($A16,Classes,Classes!AB$3:AB$18))</f>
        <v>#N/A</v>
      </c>
      <c r="Y41" s="20" t="e">
        <f>IF(LEN($A16&gt;0),LOOKUP($A16,Classes,Classes!AC$3:AC$18))</f>
        <v>#N/A</v>
      </c>
      <c r="Z41" s="20" t="e">
        <f>IF(LEN($A16&gt;0),LOOKUP($A16,Classes,Classes!AD$3:AD$18))</f>
        <v>#N/A</v>
      </c>
      <c r="AA41" s="20" t="e">
        <f>IF(LEN($A16&gt;0),LOOKUP($A16,Classes,Classes!AE$3:AE$18))</f>
        <v>#N/A</v>
      </c>
      <c r="AB41" s="20" t="e">
        <f>IF(LEN($A16&gt;0),LOOKUP($A16,Classes,Classes!AF$3:AF$18))</f>
        <v>#N/A</v>
      </c>
      <c r="AC41" s="20" t="e">
        <f>IF(LEN($A16&gt;0),LOOKUP($A16,Classes,Classes!AG$3:AG$18))</f>
        <v>#N/A</v>
      </c>
      <c r="AD41" s="20" t="e">
        <f>IF(LEN($A16&gt;0),LOOKUP($A16,Classes,Classes!AH$3:AH$18))</f>
        <v>#N/A</v>
      </c>
      <c r="AE41" s="20" t="e">
        <f>IF(LEN($A16&gt;0),LOOKUP($A16,Classes,Classes!AI$3:AI$18))</f>
        <v>#N/A</v>
      </c>
      <c r="AF41" s="20" t="e">
        <f>IF(LEN($A16&gt;0),LOOKUP($A16,Classes,Classes!AJ$3:AJ$18))</f>
        <v>#N/A</v>
      </c>
      <c r="AG41" s="20" t="e">
        <f>IF(LEN($A16&gt;0),LOOKUP($A16,Classes,Classes!AK$3:AK$18))</f>
        <v>#N/A</v>
      </c>
      <c r="AH41" s="20" t="e">
        <f>IF(LEN($A16&gt;0),LOOKUP($A16,Classes,Classes!AL$3:AL$18))</f>
        <v>#N/A</v>
      </c>
      <c r="AI41" s="20" t="e">
        <f>IF(LEN($A16&gt;0),LOOKUP($A16,Classes,Classes!AM$3:AM$18))</f>
        <v>#N/A</v>
      </c>
      <c r="AJ41" s="20" t="e">
        <f>IF(LEN($A16&gt;0),LOOKUP($A16,Classes,Classes!AN$3:AN$18))</f>
        <v>#N/A</v>
      </c>
      <c r="AK41" s="20" t="e">
        <f>IF(LEN($A16&gt;0),LOOKUP($A16,Classes,Classes!AO$3:AO$18))</f>
        <v>#N/A</v>
      </c>
      <c r="AL41" s="20" t="e">
        <f>IF(LEN($A16&gt;0),LOOKUP($A16,Classes,Classes!AP$3:AP$18))</f>
        <v>#N/A</v>
      </c>
      <c r="AM41" s="20" t="e">
        <f>IF(LEN($A16&gt;0),LOOKUP($A16,Classes,Classes!AQ$3:AQ$18))</f>
        <v>#N/A</v>
      </c>
      <c r="AN41" s="20" t="e">
        <f>IF(LEN($A16&gt;0),LOOKUP($A16,Classes,Classes!AR$3:AR$18))</f>
        <v>#N/A</v>
      </c>
      <c r="AO41" s="20" t="e">
        <f>IF(LEN($A16&gt;0),LOOKUP($A16,Classes,Classes!AS$3:AS$18))</f>
        <v>#N/A</v>
      </c>
      <c r="AP41" s="20" t="e">
        <f>IF(LEN($A16&gt;0),LOOKUP($A16,Classes,Classes!AT$3:AT$18))</f>
        <v>#N/A</v>
      </c>
      <c r="AQ41" s="20" t="e">
        <f>IF(LEN($A16&gt;0),LOOKUP($A16,Classes,Classes!AU$3:AU$18))</f>
        <v>#N/A</v>
      </c>
      <c r="AR41" s="20" t="e">
        <f>IF(LEN($A16&gt;0),LOOKUP($A16,Classes,Classes!AV$3:AV$18))</f>
        <v>#N/A</v>
      </c>
      <c r="AS41" s="20" t="e">
        <f>IF(LEN($A16&gt;0),LOOKUP($A16,Classes,Classes!AW$3:AW$18))</f>
        <v>#N/A</v>
      </c>
      <c r="AT41" s="20" t="e">
        <f>IF(LEN($A16&gt;0),LOOKUP($A16,Classes,Classes!AX$3:AX$18))</f>
        <v>#N/A</v>
      </c>
      <c r="AU41" s="20" t="e">
        <f>IF(LEN($A16&gt;0),LOOKUP($A16,Classes,Classes!AY$3:AY$18))</f>
        <v>#N/A</v>
      </c>
      <c r="AV41" s="20" t="e">
        <f>IF(LEN($A16&gt;0),LOOKUP($A16,Classes,Classes!AZ$3:AZ$18))</f>
        <v>#N/A</v>
      </c>
      <c r="AW41" s="20" t="e">
        <f>IF(LEN($A16&gt;0),LOOKUP($A16,Classes,Classes!BA$3:BA$18))</f>
        <v>#N/A</v>
      </c>
      <c r="AX41" s="20" t="e">
        <f>IF(LEN($A16&gt;0),LOOKUP($A16,Classes,Classes!BB$3:BB$18))</f>
        <v>#N/A</v>
      </c>
      <c r="AY41" s="20" t="e">
        <f>IF(LEN($A16&gt;0),LOOKUP($A16,Classes,Classes!BC$3:BC$18))</f>
        <v>#N/A</v>
      </c>
      <c r="AZ41" s="20" t="e">
        <f>IF(LEN($A16&gt;0),LOOKUP($A16,Classes,Classes!BD$3:BD$18))</f>
        <v>#N/A</v>
      </c>
      <c r="BA41" s="20" t="e">
        <f>IF(LEN($A16&gt;0),LOOKUP($A16,Classes,Classes!BE$3:BE$18))</f>
        <v>#N/A</v>
      </c>
      <c r="BB41" s="20" t="e">
        <f>IF(LEN($A16&gt;0),LOOKUP($A16,Classes,Classes!BF$3:BF$18))</f>
        <v>#N/A</v>
      </c>
      <c r="BC41" s="20" t="e">
        <f>IF(LEN($A16&gt;0),LOOKUP($A16,Classes,Classes!BG$3:BG$18))</f>
        <v>#N/A</v>
      </c>
      <c r="BD41" s="20" t="e">
        <f>IF(LEN($A16&gt;0),LOOKUP($A16,Classes,Classes!BH$3:BH$18))</f>
        <v>#N/A</v>
      </c>
      <c r="BE41" s="20" t="e">
        <f>IF(LEN($A16&gt;0),LOOKUP($A16,Classes,Classes!BI$3:BI$18))</f>
        <v>#N/A</v>
      </c>
      <c r="BF41" s="20" t="e">
        <f>IF(LEN($A16&gt;0),LOOKUP($A16,Classes,Classes!BJ$3:BJ$18))</f>
        <v>#N/A</v>
      </c>
    </row>
    <row r="42" spans="7:58" ht="12.75">
      <c r="G42" s="20" t="e">
        <f>IF(LEN($A17&gt;0),LOOKUP($A17,Classes,Classes!K$3:K$18))</f>
        <v>#N/A</v>
      </c>
      <c r="H42" s="20" t="e">
        <f>IF(LEN($A17&gt;0),LOOKUP($A17,Classes,Classes!L$3:L$18))</f>
        <v>#N/A</v>
      </c>
      <c r="I42" s="20" t="e">
        <f>IF(LEN($A17&gt;0),LOOKUP($A17,Classes,Classes!M$3:M$18))</f>
        <v>#N/A</v>
      </c>
      <c r="J42" s="20" t="e">
        <f>IF(LEN($A17&gt;0),LOOKUP($A17,Classes,Classes!N$3:N$18))</f>
        <v>#N/A</v>
      </c>
      <c r="K42" s="20" t="e">
        <f>IF(LEN($A17&gt;0),LOOKUP($A17,Classes,Classes!O$3:O$18))</f>
        <v>#N/A</v>
      </c>
      <c r="L42" s="20" t="e">
        <f>IF(LEN($A17&gt;0),LOOKUP($A17,Classes,Classes!P$3:P$18))</f>
        <v>#N/A</v>
      </c>
      <c r="M42" s="20" t="e">
        <f>IF(LEN($A17&gt;0),LOOKUP($A17,Classes,Classes!Q$3:Q$18))</f>
        <v>#N/A</v>
      </c>
      <c r="N42" s="20" t="e">
        <f>IF(LEN($A17&gt;0),LOOKUP($A17,Classes,Classes!R$3:R$18))</f>
        <v>#N/A</v>
      </c>
      <c r="O42" s="20" t="e">
        <f>IF(LEN($A17&gt;0),LOOKUP($A17,Classes,Classes!S$3:S$18))</f>
        <v>#N/A</v>
      </c>
      <c r="P42" s="20" t="e">
        <f>IF(LEN($A17&gt;0),LOOKUP($A17,Classes,Classes!T$3:T$18))</f>
        <v>#N/A</v>
      </c>
      <c r="Q42" s="20" t="e">
        <f>IF(LEN($A17&gt;0),LOOKUP($A17,Classes,Classes!U$3:U$18))</f>
        <v>#N/A</v>
      </c>
      <c r="R42" s="20" t="e">
        <f>IF(LEN($A17&gt;0),LOOKUP($A17,Classes,Classes!V$3:V$18))</f>
        <v>#N/A</v>
      </c>
      <c r="S42" s="20" t="e">
        <f>IF(LEN($A17&gt;0),LOOKUP($A17,Classes,Classes!W$3:W$18))</f>
        <v>#N/A</v>
      </c>
      <c r="T42" s="20" t="e">
        <f>IF(LEN($A17&gt;0),LOOKUP($A17,Classes,Classes!X$3:X$18))</f>
        <v>#N/A</v>
      </c>
      <c r="U42" s="20" t="e">
        <f>IF(LEN($A17&gt;0),LOOKUP($A17,Classes,Classes!Y$3:Y$18))</f>
        <v>#N/A</v>
      </c>
      <c r="V42" s="20" t="e">
        <f>IF(LEN($A17&gt;0),LOOKUP($A17,Classes,Classes!Z$3:Z$18))</f>
        <v>#N/A</v>
      </c>
      <c r="W42" s="20" t="e">
        <f>IF(LEN($A17&gt;0),LOOKUP($A17,Classes,Classes!AA$3:AA$18))</f>
        <v>#N/A</v>
      </c>
      <c r="X42" s="20" t="e">
        <f>IF(LEN($A17&gt;0),LOOKUP($A17,Classes,Classes!AB$3:AB$18))</f>
        <v>#N/A</v>
      </c>
      <c r="Y42" s="20" t="e">
        <f>IF(LEN($A17&gt;0),LOOKUP($A17,Classes,Classes!AC$3:AC$18))</f>
        <v>#N/A</v>
      </c>
      <c r="Z42" s="20" t="e">
        <f>IF(LEN($A17&gt;0),LOOKUP($A17,Classes,Classes!AD$3:AD$18))</f>
        <v>#N/A</v>
      </c>
      <c r="AA42" s="20" t="e">
        <f>IF(LEN($A17&gt;0),LOOKUP($A17,Classes,Classes!AE$3:AE$18))</f>
        <v>#N/A</v>
      </c>
      <c r="AB42" s="20" t="e">
        <f>IF(LEN($A17&gt;0),LOOKUP($A17,Classes,Classes!AF$3:AF$18))</f>
        <v>#N/A</v>
      </c>
      <c r="AC42" s="20" t="e">
        <f>IF(LEN($A17&gt;0),LOOKUP($A17,Classes,Classes!AG$3:AG$18))</f>
        <v>#N/A</v>
      </c>
      <c r="AD42" s="20" t="e">
        <f>IF(LEN($A17&gt;0),LOOKUP($A17,Classes,Classes!AH$3:AH$18))</f>
        <v>#N/A</v>
      </c>
      <c r="AE42" s="20" t="e">
        <f>IF(LEN($A17&gt;0),LOOKUP($A17,Classes,Classes!AI$3:AI$18))</f>
        <v>#N/A</v>
      </c>
      <c r="AF42" s="20" t="e">
        <f>IF(LEN($A17&gt;0),LOOKUP($A17,Classes,Classes!AJ$3:AJ$18))</f>
        <v>#N/A</v>
      </c>
      <c r="AG42" s="20" t="e">
        <f>IF(LEN($A17&gt;0),LOOKUP($A17,Classes,Classes!AK$3:AK$18))</f>
        <v>#N/A</v>
      </c>
      <c r="AH42" s="20" t="e">
        <f>IF(LEN($A17&gt;0),LOOKUP($A17,Classes,Classes!AL$3:AL$18))</f>
        <v>#N/A</v>
      </c>
      <c r="AI42" s="20" t="e">
        <f>IF(LEN($A17&gt;0),LOOKUP($A17,Classes,Classes!AM$3:AM$18))</f>
        <v>#N/A</v>
      </c>
      <c r="AJ42" s="20" t="e">
        <f>IF(LEN($A17&gt;0),LOOKUP($A17,Classes,Classes!AN$3:AN$18))</f>
        <v>#N/A</v>
      </c>
      <c r="AK42" s="20" t="e">
        <f>IF(LEN($A17&gt;0),LOOKUP($A17,Classes,Classes!AO$3:AO$18))</f>
        <v>#N/A</v>
      </c>
      <c r="AL42" s="20" t="e">
        <f>IF(LEN($A17&gt;0),LOOKUP($A17,Classes,Classes!AP$3:AP$18))</f>
        <v>#N/A</v>
      </c>
      <c r="AM42" s="20" t="e">
        <f>IF(LEN($A17&gt;0),LOOKUP($A17,Classes,Classes!AQ$3:AQ$18))</f>
        <v>#N/A</v>
      </c>
      <c r="AN42" s="20" t="e">
        <f>IF(LEN($A17&gt;0),LOOKUP($A17,Classes,Classes!AR$3:AR$18))</f>
        <v>#N/A</v>
      </c>
      <c r="AO42" s="20" t="e">
        <f>IF(LEN($A17&gt;0),LOOKUP($A17,Classes,Classes!AS$3:AS$18))</f>
        <v>#N/A</v>
      </c>
      <c r="AP42" s="20" t="e">
        <f>IF(LEN($A17&gt;0),LOOKUP($A17,Classes,Classes!AT$3:AT$18))</f>
        <v>#N/A</v>
      </c>
      <c r="AQ42" s="20" t="e">
        <f>IF(LEN($A17&gt;0),LOOKUP($A17,Classes,Classes!AU$3:AU$18))</f>
        <v>#N/A</v>
      </c>
      <c r="AR42" s="20" t="e">
        <f>IF(LEN($A17&gt;0),LOOKUP($A17,Classes,Classes!AV$3:AV$18))</f>
        <v>#N/A</v>
      </c>
      <c r="AS42" s="20" t="e">
        <f>IF(LEN($A17&gt;0),LOOKUP($A17,Classes,Classes!AW$3:AW$18))</f>
        <v>#N/A</v>
      </c>
      <c r="AT42" s="20" t="e">
        <f>IF(LEN($A17&gt;0),LOOKUP($A17,Classes,Classes!AX$3:AX$18))</f>
        <v>#N/A</v>
      </c>
      <c r="AU42" s="20" t="e">
        <f>IF(LEN($A17&gt;0),LOOKUP($A17,Classes,Classes!AY$3:AY$18))</f>
        <v>#N/A</v>
      </c>
      <c r="AV42" s="20" t="e">
        <f>IF(LEN($A17&gt;0),LOOKUP($A17,Classes,Classes!AZ$3:AZ$18))</f>
        <v>#N/A</v>
      </c>
      <c r="AW42" s="20" t="e">
        <f>IF(LEN($A17&gt;0),LOOKUP($A17,Classes,Classes!BA$3:BA$18))</f>
        <v>#N/A</v>
      </c>
      <c r="AX42" s="20" t="e">
        <f>IF(LEN($A17&gt;0),LOOKUP($A17,Classes,Classes!BB$3:BB$18))</f>
        <v>#N/A</v>
      </c>
      <c r="AY42" s="20" t="e">
        <f>IF(LEN($A17&gt;0),LOOKUP($A17,Classes,Classes!BC$3:BC$18))</f>
        <v>#N/A</v>
      </c>
      <c r="AZ42" s="20" t="e">
        <f>IF(LEN($A17&gt;0),LOOKUP($A17,Classes,Classes!BD$3:BD$18))</f>
        <v>#N/A</v>
      </c>
      <c r="BA42" s="20" t="e">
        <f>IF(LEN($A17&gt;0),LOOKUP($A17,Classes,Classes!BE$3:BE$18))</f>
        <v>#N/A</v>
      </c>
      <c r="BB42" s="20" t="e">
        <f>IF(LEN($A17&gt;0),LOOKUP($A17,Classes,Classes!BF$3:BF$18))</f>
        <v>#N/A</v>
      </c>
      <c r="BC42" s="20" t="e">
        <f>IF(LEN($A17&gt;0),LOOKUP($A17,Classes,Classes!BG$3:BG$18))</f>
        <v>#N/A</v>
      </c>
      <c r="BD42" s="20" t="e">
        <f>IF(LEN($A17&gt;0),LOOKUP($A17,Classes,Classes!BH$3:BH$18))</f>
        <v>#N/A</v>
      </c>
      <c r="BE42" s="20" t="e">
        <f>IF(LEN($A17&gt;0),LOOKUP($A17,Classes,Classes!BI$3:BI$18))</f>
        <v>#N/A</v>
      </c>
      <c r="BF42" s="20" t="e">
        <f>IF(LEN($A17&gt;0),LOOKUP($A17,Classes,Classes!BJ$3:BJ$18))</f>
        <v>#N/A</v>
      </c>
    </row>
    <row r="43" spans="7:58" ht="12.75">
      <c r="G43" s="20" t="e">
        <f>IF(LEN($A18&gt;0),LOOKUP($A18,Classes,Classes!K$3:K$18))</f>
        <v>#N/A</v>
      </c>
      <c r="H43" s="20" t="e">
        <f>IF(LEN($A18&gt;0),LOOKUP($A18,Classes,Classes!L$3:L$18))</f>
        <v>#N/A</v>
      </c>
      <c r="I43" s="20" t="e">
        <f>IF(LEN($A18&gt;0),LOOKUP($A18,Classes,Classes!M$3:M$18))</f>
        <v>#N/A</v>
      </c>
      <c r="J43" s="20" t="e">
        <f>IF(LEN($A18&gt;0),LOOKUP($A18,Classes,Classes!N$3:N$18))</f>
        <v>#N/A</v>
      </c>
      <c r="K43" s="20" t="e">
        <f>IF(LEN($A18&gt;0),LOOKUP($A18,Classes,Classes!O$3:O$18))</f>
        <v>#N/A</v>
      </c>
      <c r="L43" s="20" t="e">
        <f>IF(LEN($A18&gt;0),LOOKUP($A18,Classes,Classes!P$3:P$18))</f>
        <v>#N/A</v>
      </c>
      <c r="M43" s="20" t="e">
        <f>IF(LEN($A18&gt;0),LOOKUP($A18,Classes,Classes!Q$3:Q$18))</f>
        <v>#N/A</v>
      </c>
      <c r="N43" s="20" t="e">
        <f>IF(LEN($A18&gt;0),LOOKUP($A18,Classes,Classes!R$3:R$18))</f>
        <v>#N/A</v>
      </c>
      <c r="O43" s="20" t="e">
        <f>IF(LEN($A18&gt;0),LOOKUP($A18,Classes,Classes!S$3:S$18))</f>
        <v>#N/A</v>
      </c>
      <c r="P43" s="20" t="e">
        <f>IF(LEN($A18&gt;0),LOOKUP($A18,Classes,Classes!T$3:T$18))</f>
        <v>#N/A</v>
      </c>
      <c r="Q43" s="20" t="e">
        <f>IF(LEN($A18&gt;0),LOOKUP($A18,Classes,Classes!U$3:U$18))</f>
        <v>#N/A</v>
      </c>
      <c r="R43" s="20" t="e">
        <f>IF(LEN($A18&gt;0),LOOKUP($A18,Classes,Classes!V$3:V$18))</f>
        <v>#N/A</v>
      </c>
      <c r="S43" s="20" t="e">
        <f>IF(LEN($A18&gt;0),LOOKUP($A18,Classes,Classes!W$3:W$18))</f>
        <v>#N/A</v>
      </c>
      <c r="T43" s="20" t="e">
        <f>IF(LEN($A18&gt;0),LOOKUP($A18,Classes,Classes!X$3:X$18))</f>
        <v>#N/A</v>
      </c>
      <c r="U43" s="20" t="e">
        <f>IF(LEN($A18&gt;0),LOOKUP($A18,Classes,Classes!Y$3:Y$18))</f>
        <v>#N/A</v>
      </c>
      <c r="V43" s="20" t="e">
        <f>IF(LEN($A18&gt;0),LOOKUP($A18,Classes,Classes!Z$3:Z$18))</f>
        <v>#N/A</v>
      </c>
      <c r="W43" s="20" t="e">
        <f>IF(LEN($A18&gt;0),LOOKUP($A18,Classes,Classes!AA$3:AA$18))</f>
        <v>#N/A</v>
      </c>
      <c r="X43" s="20" t="e">
        <f>IF(LEN($A18&gt;0),LOOKUP($A18,Classes,Classes!AB$3:AB$18))</f>
        <v>#N/A</v>
      </c>
      <c r="Y43" s="20" t="e">
        <f>IF(LEN($A18&gt;0),LOOKUP($A18,Classes,Classes!AC$3:AC$18))</f>
        <v>#N/A</v>
      </c>
      <c r="Z43" s="20" t="e">
        <f>IF(LEN($A18&gt;0),LOOKUP($A18,Classes,Classes!AD$3:AD$18))</f>
        <v>#N/A</v>
      </c>
      <c r="AA43" s="20" t="e">
        <f>IF(LEN($A18&gt;0),LOOKUP($A18,Classes,Classes!AE$3:AE$18))</f>
        <v>#N/A</v>
      </c>
      <c r="AB43" s="20" t="e">
        <f>IF(LEN($A18&gt;0),LOOKUP($A18,Classes,Classes!AF$3:AF$18))</f>
        <v>#N/A</v>
      </c>
      <c r="AC43" s="20" t="e">
        <f>IF(LEN($A18&gt;0),LOOKUP($A18,Classes,Classes!AG$3:AG$18))</f>
        <v>#N/A</v>
      </c>
      <c r="AD43" s="20" t="e">
        <f>IF(LEN($A18&gt;0),LOOKUP($A18,Classes,Classes!AH$3:AH$18))</f>
        <v>#N/A</v>
      </c>
      <c r="AE43" s="20" t="e">
        <f>IF(LEN($A18&gt;0),LOOKUP($A18,Classes,Classes!AI$3:AI$18))</f>
        <v>#N/A</v>
      </c>
      <c r="AF43" s="20" t="e">
        <f>IF(LEN($A18&gt;0),LOOKUP($A18,Classes,Classes!AJ$3:AJ$18))</f>
        <v>#N/A</v>
      </c>
      <c r="AG43" s="20" t="e">
        <f>IF(LEN($A18&gt;0),LOOKUP($A18,Classes,Classes!AK$3:AK$18))</f>
        <v>#N/A</v>
      </c>
      <c r="AH43" s="20" t="e">
        <f>IF(LEN($A18&gt;0),LOOKUP($A18,Classes,Classes!AL$3:AL$18))</f>
        <v>#N/A</v>
      </c>
      <c r="AI43" s="20" t="e">
        <f>IF(LEN($A18&gt;0),LOOKUP($A18,Classes,Classes!AM$3:AM$18))</f>
        <v>#N/A</v>
      </c>
      <c r="AJ43" s="20" t="e">
        <f>IF(LEN($A18&gt;0),LOOKUP($A18,Classes,Classes!AN$3:AN$18))</f>
        <v>#N/A</v>
      </c>
      <c r="AK43" s="20" t="e">
        <f>IF(LEN($A18&gt;0),LOOKUP($A18,Classes,Classes!AO$3:AO$18))</f>
        <v>#N/A</v>
      </c>
      <c r="AL43" s="20" t="e">
        <f>IF(LEN($A18&gt;0),LOOKUP($A18,Classes,Classes!AP$3:AP$18))</f>
        <v>#N/A</v>
      </c>
      <c r="AM43" s="20" t="e">
        <f>IF(LEN($A18&gt;0),LOOKUP($A18,Classes,Classes!AQ$3:AQ$18))</f>
        <v>#N/A</v>
      </c>
      <c r="AN43" s="20" t="e">
        <f>IF(LEN($A18&gt;0),LOOKUP($A18,Classes,Classes!AR$3:AR$18))</f>
        <v>#N/A</v>
      </c>
      <c r="AO43" s="20" t="e">
        <f>IF(LEN($A18&gt;0),LOOKUP($A18,Classes,Classes!AS$3:AS$18))</f>
        <v>#N/A</v>
      </c>
      <c r="AP43" s="20" t="e">
        <f>IF(LEN($A18&gt;0),LOOKUP($A18,Classes,Classes!AT$3:AT$18))</f>
        <v>#N/A</v>
      </c>
      <c r="AQ43" s="20" t="e">
        <f>IF(LEN($A18&gt;0),LOOKUP($A18,Classes,Classes!AU$3:AU$18))</f>
        <v>#N/A</v>
      </c>
      <c r="AR43" s="20" t="e">
        <f>IF(LEN($A18&gt;0),LOOKUP($A18,Classes,Classes!AV$3:AV$18))</f>
        <v>#N/A</v>
      </c>
      <c r="AS43" s="20" t="e">
        <f>IF(LEN($A18&gt;0),LOOKUP($A18,Classes,Classes!AW$3:AW$18))</f>
        <v>#N/A</v>
      </c>
      <c r="AT43" s="20" t="e">
        <f>IF(LEN($A18&gt;0),LOOKUP($A18,Classes,Classes!AX$3:AX$18))</f>
        <v>#N/A</v>
      </c>
      <c r="AU43" s="20" t="e">
        <f>IF(LEN($A18&gt;0),LOOKUP($A18,Classes,Classes!AY$3:AY$18))</f>
        <v>#N/A</v>
      </c>
      <c r="AV43" s="20" t="e">
        <f>IF(LEN($A18&gt;0),LOOKUP($A18,Classes,Classes!AZ$3:AZ$18))</f>
        <v>#N/A</v>
      </c>
      <c r="AW43" s="20" t="e">
        <f>IF(LEN($A18&gt;0),LOOKUP($A18,Classes,Classes!BA$3:BA$18))</f>
        <v>#N/A</v>
      </c>
      <c r="AX43" s="20" t="e">
        <f>IF(LEN($A18&gt;0),LOOKUP($A18,Classes,Classes!BB$3:BB$18))</f>
        <v>#N/A</v>
      </c>
      <c r="AY43" s="20" t="e">
        <f>IF(LEN($A18&gt;0),LOOKUP($A18,Classes,Classes!BC$3:BC$18))</f>
        <v>#N/A</v>
      </c>
      <c r="AZ43" s="20" t="e">
        <f>IF(LEN($A18&gt;0),LOOKUP($A18,Classes,Classes!BD$3:BD$18))</f>
        <v>#N/A</v>
      </c>
      <c r="BA43" s="20" t="e">
        <f>IF(LEN($A18&gt;0),LOOKUP($A18,Classes,Classes!BE$3:BE$18))</f>
        <v>#N/A</v>
      </c>
      <c r="BB43" s="20" t="e">
        <f>IF(LEN($A18&gt;0),LOOKUP($A18,Classes,Classes!BF$3:BF$18))</f>
        <v>#N/A</v>
      </c>
      <c r="BC43" s="20" t="e">
        <f>IF(LEN($A18&gt;0),LOOKUP($A18,Classes,Classes!BG$3:BG$18))</f>
        <v>#N/A</v>
      </c>
      <c r="BD43" s="20" t="e">
        <f>IF(LEN($A18&gt;0),LOOKUP($A18,Classes,Classes!BH$3:BH$18))</f>
        <v>#N/A</v>
      </c>
      <c r="BE43" s="20" t="e">
        <f>IF(LEN($A18&gt;0),LOOKUP($A18,Classes,Classes!BI$3:BI$18))</f>
        <v>#N/A</v>
      </c>
      <c r="BF43" s="20" t="e">
        <f>IF(LEN($A18&gt;0),LOOKUP($A18,Classes,Classes!BJ$3:BJ$18))</f>
        <v>#N/A</v>
      </c>
    </row>
    <row r="44" spans="7:58" ht="12.75">
      <c r="G44" s="20" t="e">
        <f>IF(LEN($A19&gt;0),LOOKUP($A19,Classes,Classes!K$3:K$18))</f>
        <v>#N/A</v>
      </c>
      <c r="H44" s="20" t="e">
        <f>IF(LEN($A19&gt;0),LOOKUP($A19,Classes,Classes!L$3:L$18))</f>
        <v>#N/A</v>
      </c>
      <c r="I44" s="20" t="e">
        <f>IF(LEN($A19&gt;0),LOOKUP($A19,Classes,Classes!M$3:M$18))</f>
        <v>#N/A</v>
      </c>
      <c r="J44" s="20" t="e">
        <f>IF(LEN($A19&gt;0),LOOKUP($A19,Classes,Classes!N$3:N$18))</f>
        <v>#N/A</v>
      </c>
      <c r="K44" s="20" t="e">
        <f>IF(LEN($A19&gt;0),LOOKUP($A19,Classes,Classes!O$3:O$18))</f>
        <v>#N/A</v>
      </c>
      <c r="L44" s="20" t="e">
        <f>IF(LEN($A19&gt;0),LOOKUP($A19,Classes,Classes!P$3:P$18))</f>
        <v>#N/A</v>
      </c>
      <c r="M44" s="20" t="e">
        <f>IF(LEN($A19&gt;0),LOOKUP($A19,Classes,Classes!Q$3:Q$18))</f>
        <v>#N/A</v>
      </c>
      <c r="N44" s="20" t="e">
        <f>IF(LEN($A19&gt;0),LOOKUP($A19,Classes,Classes!R$3:R$18))</f>
        <v>#N/A</v>
      </c>
      <c r="O44" s="20" t="e">
        <f>IF(LEN($A19&gt;0),LOOKUP($A19,Classes,Classes!S$3:S$18))</f>
        <v>#N/A</v>
      </c>
      <c r="P44" s="20" t="e">
        <f>IF(LEN($A19&gt;0),LOOKUP($A19,Classes,Classes!T$3:T$18))</f>
        <v>#N/A</v>
      </c>
      <c r="Q44" s="20" t="e">
        <f>IF(LEN($A19&gt;0),LOOKUP($A19,Classes,Classes!U$3:U$18))</f>
        <v>#N/A</v>
      </c>
      <c r="R44" s="20" t="e">
        <f>IF(LEN($A19&gt;0),LOOKUP($A19,Classes,Classes!V$3:V$18))</f>
        <v>#N/A</v>
      </c>
      <c r="S44" s="20" t="e">
        <f>IF(LEN($A19&gt;0),LOOKUP($A19,Classes,Classes!W$3:W$18))</f>
        <v>#N/A</v>
      </c>
      <c r="T44" s="20" t="e">
        <f>IF(LEN($A19&gt;0),LOOKUP($A19,Classes,Classes!X$3:X$18))</f>
        <v>#N/A</v>
      </c>
      <c r="U44" s="20" t="e">
        <f>IF(LEN($A19&gt;0),LOOKUP($A19,Classes,Classes!Y$3:Y$18))</f>
        <v>#N/A</v>
      </c>
      <c r="V44" s="20" t="e">
        <f>IF(LEN($A19&gt;0),LOOKUP($A19,Classes,Classes!Z$3:Z$18))</f>
        <v>#N/A</v>
      </c>
      <c r="W44" s="20" t="e">
        <f>IF(LEN($A19&gt;0),LOOKUP($A19,Classes,Classes!AA$3:AA$18))</f>
        <v>#N/A</v>
      </c>
      <c r="X44" s="20" t="e">
        <f>IF(LEN($A19&gt;0),LOOKUP($A19,Classes,Classes!AB$3:AB$18))</f>
        <v>#N/A</v>
      </c>
      <c r="Y44" s="20" t="e">
        <f>IF(LEN($A19&gt;0),LOOKUP($A19,Classes,Classes!AC$3:AC$18))</f>
        <v>#N/A</v>
      </c>
      <c r="Z44" s="20" t="e">
        <f>IF(LEN($A19&gt;0),LOOKUP($A19,Classes,Classes!AD$3:AD$18))</f>
        <v>#N/A</v>
      </c>
      <c r="AA44" s="20" t="e">
        <f>IF(LEN($A19&gt;0),LOOKUP($A19,Classes,Classes!AE$3:AE$18))</f>
        <v>#N/A</v>
      </c>
      <c r="AB44" s="20" t="e">
        <f>IF(LEN($A19&gt;0),LOOKUP($A19,Classes,Classes!AF$3:AF$18))</f>
        <v>#N/A</v>
      </c>
      <c r="AC44" s="20" t="e">
        <f>IF(LEN($A19&gt;0),LOOKUP($A19,Classes,Classes!AG$3:AG$18))</f>
        <v>#N/A</v>
      </c>
      <c r="AD44" s="20" t="e">
        <f>IF(LEN($A19&gt;0),LOOKUP($A19,Classes,Classes!AH$3:AH$18))</f>
        <v>#N/A</v>
      </c>
      <c r="AE44" s="20" t="e">
        <f>IF(LEN($A19&gt;0),LOOKUP($A19,Classes,Classes!AI$3:AI$18))</f>
        <v>#N/A</v>
      </c>
      <c r="AF44" s="20" t="e">
        <f>IF(LEN($A19&gt;0),LOOKUP($A19,Classes,Classes!AJ$3:AJ$18))</f>
        <v>#N/A</v>
      </c>
      <c r="AG44" s="20" t="e">
        <f>IF(LEN($A19&gt;0),LOOKUP($A19,Classes,Classes!AK$3:AK$18))</f>
        <v>#N/A</v>
      </c>
      <c r="AH44" s="20" t="e">
        <f>IF(LEN($A19&gt;0),LOOKUP($A19,Classes,Classes!AL$3:AL$18))</f>
        <v>#N/A</v>
      </c>
      <c r="AI44" s="20" t="e">
        <f>IF(LEN($A19&gt;0),LOOKUP($A19,Classes,Classes!AM$3:AM$18))</f>
        <v>#N/A</v>
      </c>
      <c r="AJ44" s="20" t="e">
        <f>IF(LEN($A19&gt;0),LOOKUP($A19,Classes,Classes!AN$3:AN$18))</f>
        <v>#N/A</v>
      </c>
      <c r="AK44" s="20" t="e">
        <f>IF(LEN($A19&gt;0),LOOKUP($A19,Classes,Classes!AO$3:AO$18))</f>
        <v>#N/A</v>
      </c>
      <c r="AL44" s="20" t="e">
        <f>IF(LEN($A19&gt;0),LOOKUP($A19,Classes,Classes!AP$3:AP$18))</f>
        <v>#N/A</v>
      </c>
      <c r="AM44" s="20" t="e">
        <f>IF(LEN($A19&gt;0),LOOKUP($A19,Classes,Classes!AQ$3:AQ$18))</f>
        <v>#N/A</v>
      </c>
      <c r="AN44" s="20" t="e">
        <f>IF(LEN($A19&gt;0),LOOKUP($A19,Classes,Classes!AR$3:AR$18))</f>
        <v>#N/A</v>
      </c>
      <c r="AO44" s="20" t="e">
        <f>IF(LEN($A19&gt;0),LOOKUP($A19,Classes,Classes!AS$3:AS$18))</f>
        <v>#N/A</v>
      </c>
      <c r="AP44" s="20" t="e">
        <f>IF(LEN($A19&gt;0),LOOKUP($A19,Classes,Classes!AT$3:AT$18))</f>
        <v>#N/A</v>
      </c>
      <c r="AQ44" s="20" t="e">
        <f>IF(LEN($A19&gt;0),LOOKUP($A19,Classes,Classes!AU$3:AU$18))</f>
        <v>#N/A</v>
      </c>
      <c r="AR44" s="20" t="e">
        <f>IF(LEN($A19&gt;0),LOOKUP($A19,Classes,Classes!AV$3:AV$18))</f>
        <v>#N/A</v>
      </c>
      <c r="AS44" s="20" t="e">
        <f>IF(LEN($A19&gt;0),LOOKUP($A19,Classes,Classes!AW$3:AW$18))</f>
        <v>#N/A</v>
      </c>
      <c r="AT44" s="20" t="e">
        <f>IF(LEN($A19&gt;0),LOOKUP($A19,Classes,Classes!AX$3:AX$18))</f>
        <v>#N/A</v>
      </c>
      <c r="AU44" s="20" t="e">
        <f>IF(LEN($A19&gt;0),LOOKUP($A19,Classes,Classes!AY$3:AY$18))</f>
        <v>#N/A</v>
      </c>
      <c r="AV44" s="20" t="e">
        <f>IF(LEN($A19&gt;0),LOOKUP($A19,Classes,Classes!AZ$3:AZ$18))</f>
        <v>#N/A</v>
      </c>
      <c r="AW44" s="20" t="e">
        <f>IF(LEN($A19&gt;0),LOOKUP($A19,Classes,Classes!BA$3:BA$18))</f>
        <v>#N/A</v>
      </c>
      <c r="AX44" s="20" t="e">
        <f>IF(LEN($A19&gt;0),LOOKUP($A19,Classes,Classes!BB$3:BB$18))</f>
        <v>#N/A</v>
      </c>
      <c r="AY44" s="20" t="e">
        <f>IF(LEN($A19&gt;0),LOOKUP($A19,Classes,Classes!BC$3:BC$18))</f>
        <v>#N/A</v>
      </c>
      <c r="AZ44" s="20" t="e">
        <f>IF(LEN($A19&gt;0),LOOKUP($A19,Classes,Classes!BD$3:BD$18))</f>
        <v>#N/A</v>
      </c>
      <c r="BA44" s="20" t="e">
        <f>IF(LEN($A19&gt;0),LOOKUP($A19,Classes,Classes!BE$3:BE$18))</f>
        <v>#N/A</v>
      </c>
      <c r="BB44" s="20" t="e">
        <f>IF(LEN($A19&gt;0),LOOKUP($A19,Classes,Classes!BF$3:BF$18))</f>
        <v>#N/A</v>
      </c>
      <c r="BC44" s="20" t="e">
        <f>IF(LEN($A19&gt;0),LOOKUP($A19,Classes,Classes!BG$3:BG$18))</f>
        <v>#N/A</v>
      </c>
      <c r="BD44" s="20" t="e">
        <f>IF(LEN($A19&gt;0),LOOKUP($A19,Classes,Classes!BH$3:BH$18))</f>
        <v>#N/A</v>
      </c>
      <c r="BE44" s="20" t="e">
        <f>IF(LEN($A19&gt;0),LOOKUP($A19,Classes,Classes!BI$3:BI$18))</f>
        <v>#N/A</v>
      </c>
      <c r="BF44" s="20" t="e">
        <f>IF(LEN($A19&gt;0),LOOKUP($A19,Classes,Classes!BJ$3:BJ$18))</f>
        <v>#N/A</v>
      </c>
    </row>
    <row r="45" spans="7:58" ht="12.75">
      <c r="G45" s="20" t="e">
        <f>IF(LEN($A20&gt;0),LOOKUP($A20,Classes,Classes!K$3:K$18))</f>
        <v>#N/A</v>
      </c>
      <c r="H45" s="20" t="e">
        <f>IF(LEN($A20&gt;0),LOOKUP($A20,Classes,Classes!L$3:L$18))</f>
        <v>#N/A</v>
      </c>
      <c r="I45" s="20" t="e">
        <f>IF(LEN($A20&gt;0),LOOKUP($A20,Classes,Classes!M$3:M$18))</f>
        <v>#N/A</v>
      </c>
      <c r="J45" s="20" t="e">
        <f>IF(LEN($A20&gt;0),LOOKUP($A20,Classes,Classes!N$3:N$18))</f>
        <v>#N/A</v>
      </c>
      <c r="K45" s="20" t="e">
        <f>IF(LEN($A20&gt;0),LOOKUP($A20,Classes,Classes!O$3:O$18))</f>
        <v>#N/A</v>
      </c>
      <c r="L45" s="20" t="e">
        <f>IF(LEN($A20&gt;0),LOOKUP($A20,Classes,Classes!P$3:P$18))</f>
        <v>#N/A</v>
      </c>
      <c r="M45" s="20" t="e">
        <f>IF(LEN($A20&gt;0),LOOKUP($A20,Classes,Classes!Q$3:Q$18))</f>
        <v>#N/A</v>
      </c>
      <c r="N45" s="20" t="e">
        <f>IF(LEN($A20&gt;0),LOOKUP($A20,Classes,Classes!R$3:R$18))</f>
        <v>#N/A</v>
      </c>
      <c r="O45" s="20" t="e">
        <f>IF(LEN($A20&gt;0),LOOKUP($A20,Classes,Classes!S$3:S$18))</f>
        <v>#N/A</v>
      </c>
      <c r="P45" s="20" t="e">
        <f>IF(LEN($A20&gt;0),LOOKUP($A20,Classes,Classes!T$3:T$18))</f>
        <v>#N/A</v>
      </c>
      <c r="Q45" s="20" t="e">
        <f>IF(LEN($A20&gt;0),LOOKUP($A20,Classes,Classes!U$3:U$18))</f>
        <v>#N/A</v>
      </c>
      <c r="R45" s="20" t="e">
        <f>IF(LEN($A20&gt;0),LOOKUP($A20,Classes,Classes!V$3:V$18))</f>
        <v>#N/A</v>
      </c>
      <c r="S45" s="20" t="e">
        <f>IF(LEN($A20&gt;0),LOOKUP($A20,Classes,Classes!W$3:W$18))</f>
        <v>#N/A</v>
      </c>
      <c r="T45" s="20" t="e">
        <f>IF(LEN($A20&gt;0),LOOKUP($A20,Classes,Classes!X$3:X$18))</f>
        <v>#N/A</v>
      </c>
      <c r="U45" s="20" t="e">
        <f>IF(LEN($A20&gt;0),LOOKUP($A20,Classes,Classes!Y$3:Y$18))</f>
        <v>#N/A</v>
      </c>
      <c r="V45" s="20" t="e">
        <f>IF(LEN($A20&gt;0),LOOKUP($A20,Classes,Classes!Z$3:Z$18))</f>
        <v>#N/A</v>
      </c>
      <c r="W45" s="20" t="e">
        <f>IF(LEN($A20&gt;0),LOOKUP($A20,Classes,Classes!AA$3:AA$18))</f>
        <v>#N/A</v>
      </c>
      <c r="X45" s="20" t="e">
        <f>IF(LEN($A20&gt;0),LOOKUP($A20,Classes,Classes!AB$3:AB$18))</f>
        <v>#N/A</v>
      </c>
      <c r="Y45" s="20" t="e">
        <f>IF(LEN($A20&gt;0),LOOKUP($A20,Classes,Classes!AC$3:AC$18))</f>
        <v>#N/A</v>
      </c>
      <c r="Z45" s="20" t="e">
        <f>IF(LEN($A20&gt;0),LOOKUP($A20,Classes,Classes!AD$3:AD$18))</f>
        <v>#N/A</v>
      </c>
      <c r="AA45" s="20" t="e">
        <f>IF(LEN($A20&gt;0),LOOKUP($A20,Classes,Classes!AE$3:AE$18))</f>
        <v>#N/A</v>
      </c>
      <c r="AB45" s="20" t="e">
        <f>IF(LEN($A20&gt;0),LOOKUP($A20,Classes,Classes!AF$3:AF$18))</f>
        <v>#N/A</v>
      </c>
      <c r="AC45" s="20" t="e">
        <f>IF(LEN($A20&gt;0),LOOKUP($A20,Classes,Classes!AG$3:AG$18))</f>
        <v>#N/A</v>
      </c>
      <c r="AD45" s="20" t="e">
        <f>IF(LEN($A20&gt;0),LOOKUP($A20,Classes,Classes!AH$3:AH$18))</f>
        <v>#N/A</v>
      </c>
      <c r="AE45" s="20" t="e">
        <f>IF(LEN($A20&gt;0),LOOKUP($A20,Classes,Classes!AI$3:AI$18))</f>
        <v>#N/A</v>
      </c>
      <c r="AF45" s="20" t="e">
        <f>IF(LEN($A20&gt;0),LOOKUP($A20,Classes,Classes!AJ$3:AJ$18))</f>
        <v>#N/A</v>
      </c>
      <c r="AG45" s="20" t="e">
        <f>IF(LEN($A20&gt;0),LOOKUP($A20,Classes,Classes!AK$3:AK$18))</f>
        <v>#N/A</v>
      </c>
      <c r="AH45" s="20" t="e">
        <f>IF(LEN($A20&gt;0),LOOKUP($A20,Classes,Classes!AL$3:AL$18))</f>
        <v>#N/A</v>
      </c>
      <c r="AI45" s="20" t="e">
        <f>IF(LEN($A20&gt;0),LOOKUP($A20,Classes,Classes!AM$3:AM$18))</f>
        <v>#N/A</v>
      </c>
      <c r="AJ45" s="20" t="e">
        <f>IF(LEN($A20&gt;0),LOOKUP($A20,Classes,Classes!AN$3:AN$18))</f>
        <v>#N/A</v>
      </c>
      <c r="AK45" s="20" t="e">
        <f>IF(LEN($A20&gt;0),LOOKUP($A20,Classes,Classes!AO$3:AO$18))</f>
        <v>#N/A</v>
      </c>
      <c r="AL45" s="20" t="e">
        <f>IF(LEN($A20&gt;0),LOOKUP($A20,Classes,Classes!AP$3:AP$18))</f>
        <v>#N/A</v>
      </c>
      <c r="AM45" s="20" t="e">
        <f>IF(LEN($A20&gt;0),LOOKUP($A20,Classes,Classes!AQ$3:AQ$18))</f>
        <v>#N/A</v>
      </c>
      <c r="AN45" s="20" t="e">
        <f>IF(LEN($A20&gt;0),LOOKUP($A20,Classes,Classes!AR$3:AR$18))</f>
        <v>#N/A</v>
      </c>
      <c r="AO45" s="20" t="e">
        <f>IF(LEN($A20&gt;0),LOOKUP($A20,Classes,Classes!AS$3:AS$18))</f>
        <v>#N/A</v>
      </c>
      <c r="AP45" s="20" t="e">
        <f>IF(LEN($A20&gt;0),LOOKUP($A20,Classes,Classes!AT$3:AT$18))</f>
        <v>#N/A</v>
      </c>
      <c r="AQ45" s="20" t="e">
        <f>IF(LEN($A20&gt;0),LOOKUP($A20,Classes,Classes!AU$3:AU$18))</f>
        <v>#N/A</v>
      </c>
      <c r="AR45" s="20" t="e">
        <f>IF(LEN($A20&gt;0),LOOKUP($A20,Classes,Classes!AV$3:AV$18))</f>
        <v>#N/A</v>
      </c>
      <c r="AS45" s="20" t="e">
        <f>IF(LEN($A20&gt;0),LOOKUP($A20,Classes,Classes!AW$3:AW$18))</f>
        <v>#N/A</v>
      </c>
      <c r="AT45" s="20" t="e">
        <f>IF(LEN($A20&gt;0),LOOKUP($A20,Classes,Classes!AX$3:AX$18))</f>
        <v>#N/A</v>
      </c>
      <c r="AU45" s="20" t="e">
        <f>IF(LEN($A20&gt;0),LOOKUP($A20,Classes,Classes!AY$3:AY$18))</f>
        <v>#N/A</v>
      </c>
      <c r="AV45" s="20" t="e">
        <f>IF(LEN($A20&gt;0),LOOKUP($A20,Classes,Classes!AZ$3:AZ$18))</f>
        <v>#N/A</v>
      </c>
      <c r="AW45" s="20" t="e">
        <f>IF(LEN($A20&gt;0),LOOKUP($A20,Classes,Classes!BA$3:BA$18))</f>
        <v>#N/A</v>
      </c>
      <c r="AX45" s="20" t="e">
        <f>IF(LEN($A20&gt;0),LOOKUP($A20,Classes,Classes!BB$3:BB$18))</f>
        <v>#N/A</v>
      </c>
      <c r="AY45" s="20" t="e">
        <f>IF(LEN($A20&gt;0),LOOKUP($A20,Classes,Classes!BC$3:BC$18))</f>
        <v>#N/A</v>
      </c>
      <c r="AZ45" s="20" t="e">
        <f>IF(LEN($A20&gt;0),LOOKUP($A20,Classes,Classes!BD$3:BD$18))</f>
        <v>#N/A</v>
      </c>
      <c r="BA45" s="20" t="e">
        <f>IF(LEN($A20&gt;0),LOOKUP($A20,Classes,Classes!BE$3:BE$18))</f>
        <v>#N/A</v>
      </c>
      <c r="BB45" s="20" t="e">
        <f>IF(LEN($A20&gt;0),LOOKUP($A20,Classes,Classes!BF$3:BF$18))</f>
        <v>#N/A</v>
      </c>
      <c r="BC45" s="20" t="e">
        <f>IF(LEN($A20&gt;0),LOOKUP($A20,Classes,Classes!BG$3:BG$18))</f>
        <v>#N/A</v>
      </c>
      <c r="BD45" s="20" t="e">
        <f>IF(LEN($A20&gt;0),LOOKUP($A20,Classes,Classes!BH$3:BH$18))</f>
        <v>#N/A</v>
      </c>
      <c r="BE45" s="20" t="e">
        <f>IF(LEN($A20&gt;0),LOOKUP($A20,Classes,Classes!BI$3:BI$18))</f>
        <v>#N/A</v>
      </c>
      <c r="BF45" s="20" t="e">
        <f>IF(LEN($A20&gt;0),LOOKUP($A20,Classes,Classes!BJ$3:BJ$18))</f>
        <v>#N/A</v>
      </c>
    </row>
    <row r="46" spans="7:58" ht="12.75">
      <c r="G46" s="20" t="e">
        <f>IF(LEN($A21&gt;0),LOOKUP($A21,Classes,Classes!K$3:K$18))</f>
        <v>#N/A</v>
      </c>
      <c r="H46" s="20" t="e">
        <f>IF(LEN($A21&gt;0),LOOKUP($A21,Classes,Classes!L$3:L$18))</f>
        <v>#N/A</v>
      </c>
      <c r="I46" s="20" t="e">
        <f>IF(LEN($A21&gt;0),LOOKUP($A21,Classes,Classes!M$3:M$18))</f>
        <v>#N/A</v>
      </c>
      <c r="J46" s="20" t="e">
        <f>IF(LEN($A21&gt;0),LOOKUP($A21,Classes,Classes!N$3:N$18))</f>
        <v>#N/A</v>
      </c>
      <c r="K46" s="20" t="e">
        <f>IF(LEN($A21&gt;0),LOOKUP($A21,Classes,Classes!O$3:O$18))</f>
        <v>#N/A</v>
      </c>
      <c r="L46" s="20" t="e">
        <f>IF(LEN($A21&gt;0),LOOKUP($A21,Classes,Classes!P$3:P$18))</f>
        <v>#N/A</v>
      </c>
      <c r="M46" s="20" t="e">
        <f>IF(LEN($A21&gt;0),LOOKUP($A21,Classes,Classes!Q$3:Q$18))</f>
        <v>#N/A</v>
      </c>
      <c r="N46" s="20" t="e">
        <f>IF(LEN($A21&gt;0),LOOKUP($A21,Classes,Classes!R$3:R$18))</f>
        <v>#N/A</v>
      </c>
      <c r="O46" s="20" t="e">
        <f>IF(LEN($A21&gt;0),LOOKUP($A21,Classes,Classes!S$3:S$18))</f>
        <v>#N/A</v>
      </c>
      <c r="P46" s="20" t="e">
        <f>IF(LEN($A21&gt;0),LOOKUP($A21,Classes,Classes!T$3:T$18))</f>
        <v>#N/A</v>
      </c>
      <c r="Q46" s="20" t="e">
        <f>IF(LEN($A21&gt;0),LOOKUP($A21,Classes,Classes!U$3:U$18))</f>
        <v>#N/A</v>
      </c>
      <c r="R46" s="20" t="e">
        <f>IF(LEN($A21&gt;0),LOOKUP($A21,Classes,Classes!V$3:V$18))</f>
        <v>#N/A</v>
      </c>
      <c r="S46" s="20" t="e">
        <f>IF(LEN($A21&gt;0),LOOKUP($A21,Classes,Classes!W$3:W$18))</f>
        <v>#N/A</v>
      </c>
      <c r="T46" s="20" t="e">
        <f>IF(LEN($A21&gt;0),LOOKUP($A21,Classes,Classes!X$3:X$18))</f>
        <v>#N/A</v>
      </c>
      <c r="U46" s="20" t="e">
        <f>IF(LEN($A21&gt;0),LOOKUP($A21,Classes,Classes!Y$3:Y$18))</f>
        <v>#N/A</v>
      </c>
      <c r="V46" s="20" t="e">
        <f>IF(LEN($A21&gt;0),LOOKUP($A21,Classes,Classes!Z$3:Z$18))</f>
        <v>#N/A</v>
      </c>
      <c r="W46" s="20" t="e">
        <f>IF(LEN($A21&gt;0),LOOKUP($A21,Classes,Classes!AA$3:AA$18))</f>
        <v>#N/A</v>
      </c>
      <c r="X46" s="20" t="e">
        <f>IF(LEN($A21&gt;0),LOOKUP($A21,Classes,Classes!AB$3:AB$18))</f>
        <v>#N/A</v>
      </c>
      <c r="Y46" s="20" t="e">
        <f>IF(LEN($A21&gt;0),LOOKUP($A21,Classes,Classes!AC$3:AC$18))</f>
        <v>#N/A</v>
      </c>
      <c r="Z46" s="20" t="e">
        <f>IF(LEN($A21&gt;0),LOOKUP($A21,Classes,Classes!AD$3:AD$18))</f>
        <v>#N/A</v>
      </c>
      <c r="AA46" s="20" t="e">
        <f>IF(LEN($A21&gt;0),LOOKUP($A21,Classes,Classes!AE$3:AE$18))</f>
        <v>#N/A</v>
      </c>
      <c r="AB46" s="20" t="e">
        <f>IF(LEN($A21&gt;0),LOOKUP($A21,Classes,Classes!AF$3:AF$18))</f>
        <v>#N/A</v>
      </c>
      <c r="AC46" s="20" t="e">
        <f>IF(LEN($A21&gt;0),LOOKUP($A21,Classes,Classes!AG$3:AG$18))</f>
        <v>#N/A</v>
      </c>
      <c r="AD46" s="20" t="e">
        <f>IF(LEN($A21&gt;0),LOOKUP($A21,Classes,Classes!AH$3:AH$18))</f>
        <v>#N/A</v>
      </c>
      <c r="AE46" s="20" t="e">
        <f>IF(LEN($A21&gt;0),LOOKUP($A21,Classes,Classes!AI$3:AI$18))</f>
        <v>#N/A</v>
      </c>
      <c r="AF46" s="20" t="e">
        <f>IF(LEN($A21&gt;0),LOOKUP($A21,Classes,Classes!AJ$3:AJ$18))</f>
        <v>#N/A</v>
      </c>
      <c r="AG46" s="20" t="e">
        <f>IF(LEN($A21&gt;0),LOOKUP($A21,Classes,Classes!AK$3:AK$18))</f>
        <v>#N/A</v>
      </c>
      <c r="AH46" s="20" t="e">
        <f>IF(LEN($A21&gt;0),LOOKUP($A21,Classes,Classes!AL$3:AL$18))</f>
        <v>#N/A</v>
      </c>
      <c r="AI46" s="20" t="e">
        <f>IF(LEN($A21&gt;0),LOOKUP($A21,Classes,Classes!AM$3:AM$18))</f>
        <v>#N/A</v>
      </c>
      <c r="AJ46" s="20" t="e">
        <f>IF(LEN($A21&gt;0),LOOKUP($A21,Classes,Classes!AN$3:AN$18))</f>
        <v>#N/A</v>
      </c>
      <c r="AK46" s="20" t="e">
        <f>IF(LEN($A21&gt;0),LOOKUP($A21,Classes,Classes!AO$3:AO$18))</f>
        <v>#N/A</v>
      </c>
      <c r="AL46" s="20" t="e">
        <f>IF(LEN($A21&gt;0),LOOKUP($A21,Classes,Classes!AP$3:AP$18))</f>
        <v>#N/A</v>
      </c>
      <c r="AM46" s="20" t="e">
        <f>IF(LEN($A21&gt;0),LOOKUP($A21,Classes,Classes!AQ$3:AQ$18))</f>
        <v>#N/A</v>
      </c>
      <c r="AN46" s="20" t="e">
        <f>IF(LEN($A21&gt;0),LOOKUP($A21,Classes,Classes!AR$3:AR$18))</f>
        <v>#N/A</v>
      </c>
      <c r="AO46" s="20" t="e">
        <f>IF(LEN($A21&gt;0),LOOKUP($A21,Classes,Classes!AS$3:AS$18))</f>
        <v>#N/A</v>
      </c>
      <c r="AP46" s="20" t="e">
        <f>IF(LEN($A21&gt;0),LOOKUP($A21,Classes,Classes!AT$3:AT$18))</f>
        <v>#N/A</v>
      </c>
      <c r="AQ46" s="20" t="e">
        <f>IF(LEN($A21&gt;0),LOOKUP($A21,Classes,Classes!AU$3:AU$18))</f>
        <v>#N/A</v>
      </c>
      <c r="AR46" s="20" t="e">
        <f>IF(LEN($A21&gt;0),LOOKUP($A21,Classes,Classes!AV$3:AV$18))</f>
        <v>#N/A</v>
      </c>
      <c r="AS46" s="20" t="e">
        <f>IF(LEN($A21&gt;0),LOOKUP($A21,Classes,Classes!AW$3:AW$18))</f>
        <v>#N/A</v>
      </c>
      <c r="AT46" s="20" t="e">
        <f>IF(LEN($A21&gt;0),LOOKUP($A21,Classes,Classes!AX$3:AX$18))</f>
        <v>#N/A</v>
      </c>
      <c r="AU46" s="20" t="e">
        <f>IF(LEN($A21&gt;0),LOOKUP($A21,Classes,Classes!AY$3:AY$18))</f>
        <v>#N/A</v>
      </c>
      <c r="AV46" s="20" t="e">
        <f>IF(LEN($A21&gt;0),LOOKUP($A21,Classes,Classes!AZ$3:AZ$18))</f>
        <v>#N/A</v>
      </c>
      <c r="AW46" s="20" t="e">
        <f>IF(LEN($A21&gt;0),LOOKUP($A21,Classes,Classes!BA$3:BA$18))</f>
        <v>#N/A</v>
      </c>
      <c r="AX46" s="20" t="e">
        <f>IF(LEN($A21&gt;0),LOOKUP($A21,Classes,Classes!BB$3:BB$18))</f>
        <v>#N/A</v>
      </c>
      <c r="AY46" s="20" t="e">
        <f>IF(LEN($A21&gt;0),LOOKUP($A21,Classes,Classes!BC$3:BC$18))</f>
        <v>#N/A</v>
      </c>
      <c r="AZ46" s="20" t="e">
        <f>IF(LEN($A21&gt;0),LOOKUP($A21,Classes,Classes!BD$3:BD$18))</f>
        <v>#N/A</v>
      </c>
      <c r="BA46" s="20" t="e">
        <f>IF(LEN($A21&gt;0),LOOKUP($A21,Classes,Classes!BE$3:BE$18))</f>
        <v>#N/A</v>
      </c>
      <c r="BB46" s="20" t="e">
        <f>IF(LEN($A21&gt;0),LOOKUP($A21,Classes,Classes!BF$3:BF$18))</f>
        <v>#N/A</v>
      </c>
      <c r="BC46" s="20" t="e">
        <f>IF(LEN($A21&gt;0),LOOKUP($A21,Classes,Classes!BG$3:BG$18))</f>
        <v>#N/A</v>
      </c>
      <c r="BD46" s="20" t="e">
        <f>IF(LEN($A21&gt;0),LOOKUP($A21,Classes,Classes!BH$3:BH$18))</f>
        <v>#N/A</v>
      </c>
      <c r="BE46" s="20" t="e">
        <f>IF(LEN($A21&gt;0),LOOKUP($A21,Classes,Classes!BI$3:BI$18))</f>
        <v>#N/A</v>
      </c>
      <c r="BF46" s="20" t="e">
        <f>IF(LEN($A21&gt;0),LOOKUP($A21,Classes,Classes!BJ$3:BJ$18))</f>
        <v>#N/A</v>
      </c>
    </row>
    <row r="47" spans="7:58" ht="12.75">
      <c r="G47" s="20" t="e">
        <f>IF(LEN($A22&gt;0),LOOKUP($A22,Classes,Classes!K$3:K$18))</f>
        <v>#N/A</v>
      </c>
      <c r="H47" s="20" t="e">
        <f>IF(LEN($A22&gt;0),LOOKUP($A22,Classes,Classes!L$3:L$18))</f>
        <v>#N/A</v>
      </c>
      <c r="I47" s="20" t="e">
        <f>IF(LEN($A22&gt;0),LOOKUP($A22,Classes,Classes!M$3:M$18))</f>
        <v>#N/A</v>
      </c>
      <c r="J47" s="20" t="e">
        <f>IF(LEN($A22&gt;0),LOOKUP($A22,Classes,Classes!N$3:N$18))</f>
        <v>#N/A</v>
      </c>
      <c r="K47" s="20" t="e">
        <f>IF(LEN($A22&gt;0),LOOKUP($A22,Classes,Classes!O$3:O$18))</f>
        <v>#N/A</v>
      </c>
      <c r="L47" s="20" t="e">
        <f>IF(LEN($A22&gt;0),LOOKUP($A22,Classes,Classes!P$3:P$18))</f>
        <v>#N/A</v>
      </c>
      <c r="M47" s="20" t="e">
        <f>IF(LEN($A22&gt;0),LOOKUP($A22,Classes,Classes!Q$3:Q$18))</f>
        <v>#N/A</v>
      </c>
      <c r="N47" s="20" t="e">
        <f>IF(LEN($A22&gt;0),LOOKUP($A22,Classes,Classes!R$3:R$18))</f>
        <v>#N/A</v>
      </c>
      <c r="O47" s="20" t="e">
        <f>IF(LEN($A22&gt;0),LOOKUP($A22,Classes,Classes!S$3:S$18))</f>
        <v>#N/A</v>
      </c>
      <c r="P47" s="20" t="e">
        <f>IF(LEN($A22&gt;0),LOOKUP($A22,Classes,Classes!T$3:T$18))</f>
        <v>#N/A</v>
      </c>
      <c r="Q47" s="20" t="e">
        <f>IF(LEN($A22&gt;0),LOOKUP($A22,Classes,Classes!U$3:U$18))</f>
        <v>#N/A</v>
      </c>
      <c r="R47" s="20" t="e">
        <f>IF(LEN($A22&gt;0),LOOKUP($A22,Classes,Classes!V$3:V$18))</f>
        <v>#N/A</v>
      </c>
      <c r="S47" s="20" t="e">
        <f>IF(LEN($A22&gt;0),LOOKUP($A22,Classes,Classes!W$3:W$18))</f>
        <v>#N/A</v>
      </c>
      <c r="T47" s="20" t="e">
        <f>IF(LEN($A22&gt;0),LOOKUP($A22,Classes,Classes!X$3:X$18))</f>
        <v>#N/A</v>
      </c>
      <c r="U47" s="20" t="e">
        <f>IF(LEN($A22&gt;0),LOOKUP($A22,Classes,Classes!Y$3:Y$18))</f>
        <v>#N/A</v>
      </c>
      <c r="V47" s="20" t="e">
        <f>IF(LEN($A22&gt;0),LOOKUP($A22,Classes,Classes!Z$3:Z$18))</f>
        <v>#N/A</v>
      </c>
      <c r="W47" s="20" t="e">
        <f>IF(LEN($A22&gt;0),LOOKUP($A22,Classes,Classes!AA$3:AA$18))</f>
        <v>#N/A</v>
      </c>
      <c r="X47" s="20" t="e">
        <f>IF(LEN($A22&gt;0),LOOKUP($A22,Classes,Classes!AB$3:AB$18))</f>
        <v>#N/A</v>
      </c>
      <c r="Y47" s="20" t="e">
        <f>IF(LEN($A22&gt;0),LOOKUP($A22,Classes,Classes!AC$3:AC$18))</f>
        <v>#N/A</v>
      </c>
      <c r="Z47" s="20" t="e">
        <f>IF(LEN($A22&gt;0),LOOKUP($A22,Classes,Classes!AD$3:AD$18))</f>
        <v>#N/A</v>
      </c>
      <c r="AA47" s="20" t="e">
        <f>IF(LEN($A22&gt;0),LOOKUP($A22,Classes,Classes!AE$3:AE$18))</f>
        <v>#N/A</v>
      </c>
      <c r="AB47" s="20" t="e">
        <f>IF(LEN($A22&gt;0),LOOKUP($A22,Classes,Classes!AF$3:AF$18))</f>
        <v>#N/A</v>
      </c>
      <c r="AC47" s="20" t="e">
        <f>IF(LEN($A22&gt;0),LOOKUP($A22,Classes,Classes!AG$3:AG$18))</f>
        <v>#N/A</v>
      </c>
      <c r="AD47" s="20" t="e">
        <f>IF(LEN($A22&gt;0),LOOKUP($A22,Classes,Classes!AH$3:AH$18))</f>
        <v>#N/A</v>
      </c>
      <c r="AE47" s="20" t="e">
        <f>IF(LEN($A22&gt;0),LOOKUP($A22,Classes,Classes!AI$3:AI$18))</f>
        <v>#N/A</v>
      </c>
      <c r="AF47" s="20" t="e">
        <f>IF(LEN($A22&gt;0),LOOKUP($A22,Classes,Classes!AJ$3:AJ$18))</f>
        <v>#N/A</v>
      </c>
      <c r="AG47" s="20" t="e">
        <f>IF(LEN($A22&gt;0),LOOKUP($A22,Classes,Classes!AK$3:AK$18))</f>
        <v>#N/A</v>
      </c>
      <c r="AH47" s="20" t="e">
        <f>IF(LEN($A22&gt;0),LOOKUP($A22,Classes,Classes!AL$3:AL$18))</f>
        <v>#N/A</v>
      </c>
      <c r="AI47" s="20" t="e">
        <f>IF(LEN($A22&gt;0),LOOKUP($A22,Classes,Classes!AM$3:AM$18))</f>
        <v>#N/A</v>
      </c>
      <c r="AJ47" s="20" t="e">
        <f>IF(LEN($A22&gt;0),LOOKUP($A22,Classes,Classes!AN$3:AN$18))</f>
        <v>#N/A</v>
      </c>
      <c r="AK47" s="20" t="e">
        <f>IF(LEN($A22&gt;0),LOOKUP($A22,Classes,Classes!AO$3:AO$18))</f>
        <v>#N/A</v>
      </c>
      <c r="AL47" s="20" t="e">
        <f>IF(LEN($A22&gt;0),LOOKUP($A22,Classes,Classes!AP$3:AP$18))</f>
        <v>#N/A</v>
      </c>
      <c r="AM47" s="20" t="e">
        <f>IF(LEN($A22&gt;0),LOOKUP($A22,Classes,Classes!AQ$3:AQ$18))</f>
        <v>#N/A</v>
      </c>
      <c r="AN47" s="20" t="e">
        <f>IF(LEN($A22&gt;0),LOOKUP($A22,Classes,Classes!AR$3:AR$18))</f>
        <v>#N/A</v>
      </c>
      <c r="AO47" s="20" t="e">
        <f>IF(LEN($A22&gt;0),LOOKUP($A22,Classes,Classes!AS$3:AS$18))</f>
        <v>#N/A</v>
      </c>
      <c r="AP47" s="20" t="e">
        <f>IF(LEN($A22&gt;0),LOOKUP($A22,Classes,Classes!AT$3:AT$18))</f>
        <v>#N/A</v>
      </c>
      <c r="AQ47" s="20" t="e">
        <f>IF(LEN($A22&gt;0),LOOKUP($A22,Classes,Classes!AU$3:AU$18))</f>
        <v>#N/A</v>
      </c>
      <c r="AR47" s="20" t="e">
        <f>IF(LEN($A22&gt;0),LOOKUP($A22,Classes,Classes!AV$3:AV$18))</f>
        <v>#N/A</v>
      </c>
      <c r="AS47" s="20" t="e">
        <f>IF(LEN($A22&gt;0),LOOKUP($A22,Classes,Classes!AW$3:AW$18))</f>
        <v>#N/A</v>
      </c>
      <c r="AT47" s="20" t="e">
        <f>IF(LEN($A22&gt;0),LOOKUP($A22,Classes,Classes!AX$3:AX$18))</f>
        <v>#N/A</v>
      </c>
      <c r="AU47" s="20" t="e">
        <f>IF(LEN($A22&gt;0),LOOKUP($A22,Classes,Classes!AY$3:AY$18))</f>
        <v>#N/A</v>
      </c>
      <c r="AV47" s="20" t="e">
        <f>IF(LEN($A22&gt;0),LOOKUP($A22,Classes,Classes!AZ$3:AZ$18))</f>
        <v>#N/A</v>
      </c>
      <c r="AW47" s="20" t="e">
        <f>IF(LEN($A22&gt;0),LOOKUP($A22,Classes,Classes!BA$3:BA$18))</f>
        <v>#N/A</v>
      </c>
      <c r="AX47" s="20" t="e">
        <f>IF(LEN($A22&gt;0),LOOKUP($A22,Classes,Classes!BB$3:BB$18))</f>
        <v>#N/A</v>
      </c>
      <c r="AY47" s="20" t="e">
        <f>IF(LEN($A22&gt;0),LOOKUP($A22,Classes,Classes!BC$3:BC$18))</f>
        <v>#N/A</v>
      </c>
      <c r="AZ47" s="20" t="e">
        <f>IF(LEN($A22&gt;0),LOOKUP($A22,Classes,Classes!BD$3:BD$18))</f>
        <v>#N/A</v>
      </c>
      <c r="BA47" s="20" t="e">
        <f>IF(LEN($A22&gt;0),LOOKUP($A22,Classes,Classes!BE$3:BE$18))</f>
        <v>#N/A</v>
      </c>
      <c r="BB47" s="20" t="e">
        <f>IF(LEN($A22&gt;0),LOOKUP($A22,Classes,Classes!BF$3:BF$18))</f>
        <v>#N/A</v>
      </c>
      <c r="BC47" s="20" t="e">
        <f>IF(LEN($A22&gt;0),LOOKUP($A22,Classes,Classes!BG$3:BG$18))</f>
        <v>#N/A</v>
      </c>
      <c r="BD47" s="20" t="e">
        <f>IF(LEN($A22&gt;0),LOOKUP($A22,Classes,Classes!BH$3:BH$18))</f>
        <v>#N/A</v>
      </c>
      <c r="BE47" s="20" t="e">
        <f>IF(LEN($A22&gt;0),LOOKUP($A22,Classes,Classes!BI$3:BI$18))</f>
        <v>#N/A</v>
      </c>
      <c r="BF47" s="20" t="e">
        <f>IF(LEN($A22&gt;0),LOOKUP($A22,Classes,Classes!BJ$3:BJ$18))</f>
        <v>#N/A</v>
      </c>
    </row>
    <row r="48" spans="7:58" ht="12.75">
      <c r="G48" s="20" t="e">
        <f>IF(LEN($A23&gt;0),LOOKUP($A23,Classes,Classes!K$3:K$18))</f>
        <v>#N/A</v>
      </c>
      <c r="H48" s="20" t="e">
        <f>IF(LEN($A23&gt;0),LOOKUP($A23,Classes,Classes!L$3:L$18))</f>
        <v>#N/A</v>
      </c>
      <c r="I48" s="20" t="e">
        <f>IF(LEN($A23&gt;0),LOOKUP($A23,Classes,Classes!M$3:M$18))</f>
        <v>#N/A</v>
      </c>
      <c r="J48" s="20" t="e">
        <f>IF(LEN($A23&gt;0),LOOKUP($A23,Classes,Classes!N$3:N$18))</f>
        <v>#N/A</v>
      </c>
      <c r="K48" s="20" t="e">
        <f>IF(LEN($A23&gt;0),LOOKUP($A23,Classes,Classes!O$3:O$18))</f>
        <v>#N/A</v>
      </c>
      <c r="L48" s="20" t="e">
        <f>IF(LEN($A23&gt;0),LOOKUP($A23,Classes,Classes!P$3:P$18))</f>
        <v>#N/A</v>
      </c>
      <c r="M48" s="20" t="e">
        <f>IF(LEN($A23&gt;0),LOOKUP($A23,Classes,Classes!Q$3:Q$18))</f>
        <v>#N/A</v>
      </c>
      <c r="N48" s="20" t="e">
        <f>IF(LEN($A23&gt;0),LOOKUP($A23,Classes,Classes!R$3:R$18))</f>
        <v>#N/A</v>
      </c>
      <c r="O48" s="20" t="e">
        <f>IF(LEN($A23&gt;0),LOOKUP($A23,Classes,Classes!S$3:S$18))</f>
        <v>#N/A</v>
      </c>
      <c r="P48" s="20" t="e">
        <f>IF(LEN($A23&gt;0),LOOKUP($A23,Classes,Classes!T$3:T$18))</f>
        <v>#N/A</v>
      </c>
      <c r="Q48" s="20" t="e">
        <f>IF(LEN($A23&gt;0),LOOKUP($A23,Classes,Classes!U$3:U$18))</f>
        <v>#N/A</v>
      </c>
      <c r="R48" s="20" t="e">
        <f>IF(LEN($A23&gt;0),LOOKUP($A23,Classes,Classes!V$3:V$18))</f>
        <v>#N/A</v>
      </c>
      <c r="S48" s="20" t="e">
        <f>IF(LEN($A23&gt;0),LOOKUP($A23,Classes,Classes!W$3:W$18))</f>
        <v>#N/A</v>
      </c>
      <c r="T48" s="20" t="e">
        <f>IF(LEN($A23&gt;0),LOOKUP($A23,Classes,Classes!X$3:X$18))</f>
        <v>#N/A</v>
      </c>
      <c r="U48" s="20" t="e">
        <f>IF(LEN($A23&gt;0),LOOKUP($A23,Classes,Classes!Y$3:Y$18))</f>
        <v>#N/A</v>
      </c>
      <c r="V48" s="20" t="e">
        <f>IF(LEN($A23&gt;0),LOOKUP($A23,Classes,Classes!Z$3:Z$18))</f>
        <v>#N/A</v>
      </c>
      <c r="W48" s="20" t="e">
        <f>IF(LEN($A23&gt;0),LOOKUP($A23,Classes,Classes!AA$3:AA$18))</f>
        <v>#N/A</v>
      </c>
      <c r="X48" s="20" t="e">
        <f>IF(LEN($A23&gt;0),LOOKUP($A23,Classes,Classes!AB$3:AB$18))</f>
        <v>#N/A</v>
      </c>
      <c r="Y48" s="20" t="e">
        <f>IF(LEN($A23&gt;0),LOOKUP($A23,Classes,Classes!AC$3:AC$18))</f>
        <v>#N/A</v>
      </c>
      <c r="Z48" s="20" t="e">
        <f>IF(LEN($A23&gt;0),LOOKUP($A23,Classes,Classes!AD$3:AD$18))</f>
        <v>#N/A</v>
      </c>
      <c r="AA48" s="20" t="e">
        <f>IF(LEN($A23&gt;0),LOOKUP($A23,Classes,Classes!AE$3:AE$18))</f>
        <v>#N/A</v>
      </c>
      <c r="AB48" s="20" t="e">
        <f>IF(LEN($A23&gt;0),LOOKUP($A23,Classes,Classes!AF$3:AF$18))</f>
        <v>#N/A</v>
      </c>
      <c r="AC48" s="20" t="e">
        <f>IF(LEN($A23&gt;0),LOOKUP($A23,Classes,Classes!AG$3:AG$18))</f>
        <v>#N/A</v>
      </c>
      <c r="AD48" s="20" t="e">
        <f>IF(LEN($A23&gt;0),LOOKUP($A23,Classes,Classes!AH$3:AH$18))</f>
        <v>#N/A</v>
      </c>
      <c r="AE48" s="20" t="e">
        <f>IF(LEN($A23&gt;0),LOOKUP($A23,Classes,Classes!AI$3:AI$18))</f>
        <v>#N/A</v>
      </c>
      <c r="AF48" s="20" t="e">
        <f>IF(LEN($A23&gt;0),LOOKUP($A23,Classes,Classes!AJ$3:AJ$18))</f>
        <v>#N/A</v>
      </c>
      <c r="AG48" s="20" t="e">
        <f>IF(LEN($A23&gt;0),LOOKUP($A23,Classes,Classes!AK$3:AK$18))</f>
        <v>#N/A</v>
      </c>
      <c r="AH48" s="20" t="e">
        <f>IF(LEN($A23&gt;0),LOOKUP($A23,Classes,Classes!AL$3:AL$18))</f>
        <v>#N/A</v>
      </c>
      <c r="AI48" s="20" t="e">
        <f>IF(LEN($A23&gt;0),LOOKUP($A23,Classes,Classes!AM$3:AM$18))</f>
        <v>#N/A</v>
      </c>
      <c r="AJ48" s="20" t="e">
        <f>IF(LEN($A23&gt;0),LOOKUP($A23,Classes,Classes!AN$3:AN$18))</f>
        <v>#N/A</v>
      </c>
      <c r="AK48" s="20" t="e">
        <f>IF(LEN($A23&gt;0),LOOKUP($A23,Classes,Classes!AO$3:AO$18))</f>
        <v>#N/A</v>
      </c>
      <c r="AL48" s="20" t="e">
        <f>IF(LEN($A23&gt;0),LOOKUP($A23,Classes,Classes!AP$3:AP$18))</f>
        <v>#N/A</v>
      </c>
      <c r="AM48" s="20" t="e">
        <f>IF(LEN($A23&gt;0),LOOKUP($A23,Classes,Classes!AQ$3:AQ$18))</f>
        <v>#N/A</v>
      </c>
      <c r="AN48" s="20" t="e">
        <f>IF(LEN($A23&gt;0),LOOKUP($A23,Classes,Classes!AR$3:AR$18))</f>
        <v>#N/A</v>
      </c>
      <c r="AO48" s="20" t="e">
        <f>IF(LEN($A23&gt;0),LOOKUP($A23,Classes,Classes!AS$3:AS$18))</f>
        <v>#N/A</v>
      </c>
      <c r="AP48" s="20" t="e">
        <f>IF(LEN($A23&gt;0),LOOKUP($A23,Classes,Classes!AT$3:AT$18))</f>
        <v>#N/A</v>
      </c>
      <c r="AQ48" s="20" t="e">
        <f>IF(LEN($A23&gt;0),LOOKUP($A23,Classes,Classes!AU$3:AU$18))</f>
        <v>#N/A</v>
      </c>
      <c r="AR48" s="20" t="e">
        <f>IF(LEN($A23&gt;0),LOOKUP($A23,Classes,Classes!AV$3:AV$18))</f>
        <v>#N/A</v>
      </c>
      <c r="AS48" s="20" t="e">
        <f>IF(LEN($A23&gt;0),LOOKUP($A23,Classes,Classes!AW$3:AW$18))</f>
        <v>#N/A</v>
      </c>
      <c r="AT48" s="20" t="e">
        <f>IF(LEN($A23&gt;0),LOOKUP($A23,Classes,Classes!AX$3:AX$18))</f>
        <v>#N/A</v>
      </c>
      <c r="AU48" s="20" t="e">
        <f>IF(LEN($A23&gt;0),LOOKUP($A23,Classes,Classes!AY$3:AY$18))</f>
        <v>#N/A</v>
      </c>
      <c r="AV48" s="20" t="e">
        <f>IF(LEN($A23&gt;0),LOOKUP($A23,Classes,Classes!AZ$3:AZ$18))</f>
        <v>#N/A</v>
      </c>
      <c r="AW48" s="20" t="e">
        <f>IF(LEN($A23&gt;0),LOOKUP($A23,Classes,Classes!BA$3:BA$18))</f>
        <v>#N/A</v>
      </c>
      <c r="AX48" s="20" t="e">
        <f>IF(LEN($A23&gt;0),LOOKUP($A23,Classes,Classes!BB$3:BB$18))</f>
        <v>#N/A</v>
      </c>
      <c r="AY48" s="20" t="e">
        <f>IF(LEN($A23&gt;0),LOOKUP($A23,Classes,Classes!BC$3:BC$18))</f>
        <v>#N/A</v>
      </c>
      <c r="AZ48" s="20" t="e">
        <f>IF(LEN($A23&gt;0),LOOKUP($A23,Classes,Classes!BD$3:BD$18))</f>
        <v>#N/A</v>
      </c>
      <c r="BA48" s="20" t="e">
        <f>IF(LEN($A23&gt;0),LOOKUP($A23,Classes,Classes!BE$3:BE$18))</f>
        <v>#N/A</v>
      </c>
      <c r="BB48" s="20" t="e">
        <f>IF(LEN($A23&gt;0),LOOKUP($A23,Classes,Classes!BF$3:BF$18))</f>
        <v>#N/A</v>
      </c>
      <c r="BC48" s="20" t="e">
        <f>IF(LEN($A23&gt;0),LOOKUP($A23,Classes,Classes!BG$3:BG$18))</f>
        <v>#N/A</v>
      </c>
      <c r="BD48" s="20" t="e">
        <f>IF(LEN($A23&gt;0),LOOKUP($A23,Classes,Classes!BH$3:BH$18))</f>
        <v>#N/A</v>
      </c>
      <c r="BE48" s="20" t="e">
        <f>IF(LEN($A23&gt;0),LOOKUP($A23,Classes,Classes!BI$3:BI$18))</f>
        <v>#N/A</v>
      </c>
      <c r="BF48" s="20" t="e">
        <f>IF(LEN($A23&gt;0),LOOKUP($A23,Classes,Classes!BJ$3:BJ$18))</f>
        <v>#N/A</v>
      </c>
    </row>
    <row r="49" spans="7:58" ht="12.75">
      <c r="G49" s="20" t="e">
        <f>IF(LEN($A24&gt;0),LOOKUP($A24,Classes,Classes!K$3:K$18))</f>
        <v>#N/A</v>
      </c>
      <c r="H49" s="20" t="e">
        <f>IF(LEN($A24&gt;0),LOOKUP($A24,Classes,Classes!L$3:L$18))</f>
        <v>#N/A</v>
      </c>
      <c r="I49" s="20" t="e">
        <f>IF(LEN($A24&gt;0),LOOKUP($A24,Classes,Classes!M$3:M$18))</f>
        <v>#N/A</v>
      </c>
      <c r="J49" s="20" t="e">
        <f>IF(LEN($A24&gt;0),LOOKUP($A24,Classes,Classes!N$3:N$18))</f>
        <v>#N/A</v>
      </c>
      <c r="K49" s="20" t="e">
        <f>IF(LEN($A24&gt;0),LOOKUP($A24,Classes,Classes!O$3:O$18))</f>
        <v>#N/A</v>
      </c>
      <c r="L49" s="20" t="e">
        <f>IF(LEN($A24&gt;0),LOOKUP($A24,Classes,Classes!P$3:P$18))</f>
        <v>#N/A</v>
      </c>
      <c r="M49" s="20" t="e">
        <f>IF(LEN($A24&gt;0),LOOKUP($A24,Classes,Classes!Q$3:Q$18))</f>
        <v>#N/A</v>
      </c>
      <c r="N49" s="20" t="e">
        <f>IF(LEN($A24&gt;0),LOOKUP($A24,Classes,Classes!R$3:R$18))</f>
        <v>#N/A</v>
      </c>
      <c r="O49" s="20" t="e">
        <f>IF(LEN($A24&gt;0),LOOKUP($A24,Classes,Classes!S$3:S$18))</f>
        <v>#N/A</v>
      </c>
      <c r="P49" s="20" t="e">
        <f>IF(LEN($A24&gt;0),LOOKUP($A24,Classes,Classes!T$3:T$18))</f>
        <v>#N/A</v>
      </c>
      <c r="Q49" s="20" t="e">
        <f>IF(LEN($A24&gt;0),LOOKUP($A24,Classes,Classes!U$3:U$18))</f>
        <v>#N/A</v>
      </c>
      <c r="R49" s="20" t="e">
        <f>IF(LEN($A24&gt;0),LOOKUP($A24,Classes,Classes!V$3:V$18))</f>
        <v>#N/A</v>
      </c>
      <c r="S49" s="20" t="e">
        <f>IF(LEN($A24&gt;0),LOOKUP($A24,Classes,Classes!W$3:W$18))</f>
        <v>#N/A</v>
      </c>
      <c r="T49" s="20" t="e">
        <f>IF(LEN($A24&gt;0),LOOKUP($A24,Classes,Classes!X$3:X$18))</f>
        <v>#N/A</v>
      </c>
      <c r="U49" s="20" t="e">
        <f>IF(LEN($A24&gt;0),LOOKUP($A24,Classes,Classes!Y$3:Y$18))</f>
        <v>#N/A</v>
      </c>
      <c r="V49" s="20" t="e">
        <f>IF(LEN($A24&gt;0),LOOKUP($A24,Classes,Classes!Z$3:Z$18))</f>
        <v>#N/A</v>
      </c>
      <c r="W49" s="20" t="e">
        <f>IF(LEN($A24&gt;0),LOOKUP($A24,Classes,Classes!AA$3:AA$18))</f>
        <v>#N/A</v>
      </c>
      <c r="X49" s="20" t="e">
        <f>IF(LEN($A24&gt;0),LOOKUP($A24,Classes,Classes!AB$3:AB$18))</f>
        <v>#N/A</v>
      </c>
      <c r="Y49" s="20" t="e">
        <f>IF(LEN($A24&gt;0),LOOKUP($A24,Classes,Classes!AC$3:AC$18))</f>
        <v>#N/A</v>
      </c>
      <c r="Z49" s="20" t="e">
        <f>IF(LEN($A24&gt;0),LOOKUP($A24,Classes,Classes!AD$3:AD$18))</f>
        <v>#N/A</v>
      </c>
      <c r="AA49" s="20" t="e">
        <f>IF(LEN($A24&gt;0),LOOKUP($A24,Classes,Classes!AE$3:AE$18))</f>
        <v>#N/A</v>
      </c>
      <c r="AB49" s="20" t="e">
        <f>IF(LEN($A24&gt;0),LOOKUP($A24,Classes,Classes!AF$3:AF$18))</f>
        <v>#N/A</v>
      </c>
      <c r="AC49" s="20" t="e">
        <f>IF(LEN($A24&gt;0),LOOKUP($A24,Classes,Classes!AG$3:AG$18))</f>
        <v>#N/A</v>
      </c>
      <c r="AD49" s="20" t="e">
        <f>IF(LEN($A24&gt;0),LOOKUP($A24,Classes,Classes!AH$3:AH$18))</f>
        <v>#N/A</v>
      </c>
      <c r="AE49" s="20" t="e">
        <f>IF(LEN($A24&gt;0),LOOKUP($A24,Classes,Classes!AI$3:AI$18))</f>
        <v>#N/A</v>
      </c>
      <c r="AF49" s="20" t="e">
        <f>IF(LEN($A24&gt;0),LOOKUP($A24,Classes,Classes!AJ$3:AJ$18))</f>
        <v>#N/A</v>
      </c>
      <c r="AG49" s="20" t="e">
        <f>IF(LEN($A24&gt;0),LOOKUP($A24,Classes,Classes!AK$3:AK$18))</f>
        <v>#N/A</v>
      </c>
      <c r="AH49" s="20" t="e">
        <f>IF(LEN($A24&gt;0),LOOKUP($A24,Classes,Classes!AL$3:AL$18))</f>
        <v>#N/A</v>
      </c>
      <c r="AI49" s="20" t="e">
        <f>IF(LEN($A24&gt;0),LOOKUP($A24,Classes,Classes!AM$3:AM$18))</f>
        <v>#N/A</v>
      </c>
      <c r="AJ49" s="20" t="e">
        <f>IF(LEN($A24&gt;0),LOOKUP($A24,Classes,Classes!AN$3:AN$18))</f>
        <v>#N/A</v>
      </c>
      <c r="AK49" s="20" t="e">
        <f>IF(LEN($A24&gt;0),LOOKUP($A24,Classes,Classes!AO$3:AO$18))</f>
        <v>#N/A</v>
      </c>
      <c r="AL49" s="20" t="e">
        <f>IF(LEN($A24&gt;0),LOOKUP($A24,Classes,Classes!AP$3:AP$18))</f>
        <v>#N/A</v>
      </c>
      <c r="AM49" s="20" t="e">
        <f>IF(LEN($A24&gt;0),LOOKUP($A24,Classes,Classes!AQ$3:AQ$18))</f>
        <v>#N/A</v>
      </c>
      <c r="AN49" s="20" t="e">
        <f>IF(LEN($A24&gt;0),LOOKUP($A24,Classes,Classes!AR$3:AR$18))</f>
        <v>#N/A</v>
      </c>
      <c r="AO49" s="20" t="e">
        <f>IF(LEN($A24&gt;0),LOOKUP($A24,Classes,Classes!AS$3:AS$18))</f>
        <v>#N/A</v>
      </c>
      <c r="AP49" s="20" t="e">
        <f>IF(LEN($A24&gt;0),LOOKUP($A24,Classes,Classes!AT$3:AT$18))</f>
        <v>#N/A</v>
      </c>
      <c r="AQ49" s="20" t="e">
        <f>IF(LEN($A24&gt;0),LOOKUP($A24,Classes,Classes!AU$3:AU$18))</f>
        <v>#N/A</v>
      </c>
      <c r="AR49" s="20" t="e">
        <f>IF(LEN($A24&gt;0),LOOKUP($A24,Classes,Classes!AV$3:AV$18))</f>
        <v>#N/A</v>
      </c>
      <c r="AS49" s="20" t="e">
        <f>IF(LEN($A24&gt;0),LOOKUP($A24,Classes,Classes!AW$3:AW$18))</f>
        <v>#N/A</v>
      </c>
      <c r="AT49" s="20" t="e">
        <f>IF(LEN($A24&gt;0),LOOKUP($A24,Classes,Classes!AX$3:AX$18))</f>
        <v>#N/A</v>
      </c>
      <c r="AU49" s="20" t="e">
        <f>IF(LEN($A24&gt;0),LOOKUP($A24,Classes,Classes!AY$3:AY$18))</f>
        <v>#N/A</v>
      </c>
      <c r="AV49" s="20" t="e">
        <f>IF(LEN($A24&gt;0),LOOKUP($A24,Classes,Classes!AZ$3:AZ$18))</f>
        <v>#N/A</v>
      </c>
      <c r="AW49" s="20" t="e">
        <f>IF(LEN($A24&gt;0),LOOKUP($A24,Classes,Classes!BA$3:BA$18))</f>
        <v>#N/A</v>
      </c>
      <c r="AX49" s="20" t="e">
        <f>IF(LEN($A24&gt;0),LOOKUP($A24,Classes,Classes!BB$3:BB$18))</f>
        <v>#N/A</v>
      </c>
      <c r="AY49" s="20" t="e">
        <f>IF(LEN($A24&gt;0),LOOKUP($A24,Classes,Classes!BC$3:BC$18))</f>
        <v>#N/A</v>
      </c>
      <c r="AZ49" s="20" t="e">
        <f>IF(LEN($A24&gt;0),LOOKUP($A24,Classes,Classes!BD$3:BD$18))</f>
        <v>#N/A</v>
      </c>
      <c r="BA49" s="20" t="e">
        <f>IF(LEN($A24&gt;0),LOOKUP($A24,Classes,Classes!BE$3:BE$18))</f>
        <v>#N/A</v>
      </c>
      <c r="BB49" s="20" t="e">
        <f>IF(LEN($A24&gt;0),LOOKUP($A24,Classes,Classes!BF$3:BF$18))</f>
        <v>#N/A</v>
      </c>
      <c r="BC49" s="20" t="e">
        <f>IF(LEN($A24&gt;0),LOOKUP($A24,Classes,Classes!BG$3:BG$18))</f>
        <v>#N/A</v>
      </c>
      <c r="BD49" s="20" t="e">
        <f>IF(LEN($A24&gt;0),LOOKUP($A24,Classes,Classes!BH$3:BH$18))</f>
        <v>#N/A</v>
      </c>
      <c r="BE49" s="20" t="e">
        <f>IF(LEN($A24&gt;0),LOOKUP($A24,Classes,Classes!BI$3:BI$18))</f>
        <v>#N/A</v>
      </c>
      <c r="BF49" s="20" t="e">
        <f>IF(LEN($A24&gt;0),LOOKUP($A24,Classes,Classes!BJ$3:BJ$18))</f>
        <v>#N/A</v>
      </c>
    </row>
    <row r="50" spans="7:58" ht="12.75">
      <c r="G50" s="20" t="e">
        <f>IF(LEN($A25&gt;0),LOOKUP($A25,Classes,Classes!K$3:K$18))</f>
        <v>#N/A</v>
      </c>
      <c r="H50" s="20" t="e">
        <f>IF(LEN($A25&gt;0),LOOKUP($A25,Classes,Classes!L$3:L$18))</f>
        <v>#N/A</v>
      </c>
      <c r="I50" s="20" t="e">
        <f>IF(LEN($A25&gt;0),LOOKUP($A25,Classes,Classes!M$3:M$18))</f>
        <v>#N/A</v>
      </c>
      <c r="J50" s="20" t="e">
        <f>IF(LEN($A25&gt;0),LOOKUP($A25,Classes,Classes!N$3:N$18))</f>
        <v>#N/A</v>
      </c>
      <c r="K50" s="20" t="e">
        <f>IF(LEN($A25&gt;0),LOOKUP($A25,Classes,Classes!O$3:O$18))</f>
        <v>#N/A</v>
      </c>
      <c r="L50" s="20" t="e">
        <f>IF(LEN($A25&gt;0),LOOKUP($A25,Classes,Classes!P$3:P$18))</f>
        <v>#N/A</v>
      </c>
      <c r="M50" s="20" t="e">
        <f>IF(LEN($A25&gt;0),LOOKUP($A25,Classes,Classes!Q$3:Q$18))</f>
        <v>#N/A</v>
      </c>
      <c r="N50" s="20" t="e">
        <f>IF(LEN($A25&gt;0),LOOKUP($A25,Classes,Classes!R$3:R$18))</f>
        <v>#N/A</v>
      </c>
      <c r="O50" s="20" t="e">
        <f>IF(LEN($A25&gt;0),LOOKUP($A25,Classes,Classes!S$3:S$18))</f>
        <v>#N/A</v>
      </c>
      <c r="P50" s="20" t="e">
        <f>IF(LEN($A25&gt;0),LOOKUP($A25,Classes,Classes!T$3:T$18))</f>
        <v>#N/A</v>
      </c>
      <c r="Q50" s="20" t="e">
        <f>IF(LEN($A25&gt;0),LOOKUP($A25,Classes,Classes!U$3:U$18))</f>
        <v>#N/A</v>
      </c>
      <c r="R50" s="20" t="e">
        <f>IF(LEN($A25&gt;0),LOOKUP($A25,Classes,Classes!V$3:V$18))</f>
        <v>#N/A</v>
      </c>
      <c r="S50" s="20" t="e">
        <f>IF(LEN($A25&gt;0),LOOKUP($A25,Classes,Classes!W$3:W$18))</f>
        <v>#N/A</v>
      </c>
      <c r="T50" s="20" t="e">
        <f>IF(LEN($A25&gt;0),LOOKUP($A25,Classes,Classes!X$3:X$18))</f>
        <v>#N/A</v>
      </c>
      <c r="U50" s="20" t="e">
        <f>IF(LEN($A25&gt;0),LOOKUP($A25,Classes,Classes!Y$3:Y$18))</f>
        <v>#N/A</v>
      </c>
      <c r="V50" s="20" t="e">
        <f>IF(LEN($A25&gt;0),LOOKUP($A25,Classes,Classes!Z$3:Z$18))</f>
        <v>#N/A</v>
      </c>
      <c r="W50" s="20" t="e">
        <f>IF(LEN($A25&gt;0),LOOKUP($A25,Classes,Classes!AA$3:AA$18))</f>
        <v>#N/A</v>
      </c>
      <c r="X50" s="20" t="e">
        <f>IF(LEN($A25&gt;0),LOOKUP($A25,Classes,Classes!AB$3:AB$18))</f>
        <v>#N/A</v>
      </c>
      <c r="Y50" s="20" t="e">
        <f>IF(LEN($A25&gt;0),LOOKUP($A25,Classes,Classes!AC$3:AC$18))</f>
        <v>#N/A</v>
      </c>
      <c r="Z50" s="20" t="e">
        <f>IF(LEN($A25&gt;0),LOOKUP($A25,Classes,Classes!AD$3:AD$18))</f>
        <v>#N/A</v>
      </c>
      <c r="AA50" s="20" t="e">
        <f>IF(LEN($A25&gt;0),LOOKUP($A25,Classes,Classes!AE$3:AE$18))</f>
        <v>#N/A</v>
      </c>
      <c r="AB50" s="20" t="e">
        <f>IF(LEN($A25&gt;0),LOOKUP($A25,Classes,Classes!AF$3:AF$18))</f>
        <v>#N/A</v>
      </c>
      <c r="AC50" s="20" t="e">
        <f>IF(LEN($A25&gt;0),LOOKUP($A25,Classes,Classes!AG$3:AG$18))</f>
        <v>#N/A</v>
      </c>
      <c r="AD50" s="20" t="e">
        <f>IF(LEN($A25&gt;0),LOOKUP($A25,Classes,Classes!AH$3:AH$18))</f>
        <v>#N/A</v>
      </c>
      <c r="AE50" s="20" t="e">
        <f>IF(LEN($A25&gt;0),LOOKUP($A25,Classes,Classes!AI$3:AI$18))</f>
        <v>#N/A</v>
      </c>
      <c r="AF50" s="20" t="e">
        <f>IF(LEN($A25&gt;0),LOOKUP($A25,Classes,Classes!AJ$3:AJ$18))</f>
        <v>#N/A</v>
      </c>
      <c r="AG50" s="20" t="e">
        <f>IF(LEN($A25&gt;0),LOOKUP($A25,Classes,Classes!AK$3:AK$18))</f>
        <v>#N/A</v>
      </c>
      <c r="AH50" s="20" t="e">
        <f>IF(LEN($A25&gt;0),LOOKUP($A25,Classes,Classes!AL$3:AL$18))</f>
        <v>#N/A</v>
      </c>
      <c r="AI50" s="20" t="e">
        <f>IF(LEN($A25&gt;0),LOOKUP($A25,Classes,Classes!AM$3:AM$18))</f>
        <v>#N/A</v>
      </c>
      <c r="AJ50" s="20" t="e">
        <f>IF(LEN($A25&gt;0),LOOKUP($A25,Classes,Classes!AN$3:AN$18))</f>
        <v>#N/A</v>
      </c>
      <c r="AK50" s="20" t="e">
        <f>IF(LEN($A25&gt;0),LOOKUP($A25,Classes,Classes!AO$3:AO$18))</f>
        <v>#N/A</v>
      </c>
      <c r="AL50" s="20" t="e">
        <f>IF(LEN($A25&gt;0),LOOKUP($A25,Classes,Classes!AP$3:AP$18))</f>
        <v>#N/A</v>
      </c>
      <c r="AM50" s="20" t="e">
        <f>IF(LEN($A25&gt;0),LOOKUP($A25,Classes,Classes!AQ$3:AQ$18))</f>
        <v>#N/A</v>
      </c>
      <c r="AN50" s="20" t="e">
        <f>IF(LEN($A25&gt;0),LOOKUP($A25,Classes,Classes!AR$3:AR$18))</f>
        <v>#N/A</v>
      </c>
      <c r="AO50" s="20" t="e">
        <f>IF(LEN($A25&gt;0),LOOKUP($A25,Classes,Classes!AS$3:AS$18))</f>
        <v>#N/A</v>
      </c>
      <c r="AP50" s="20" t="e">
        <f>IF(LEN($A25&gt;0),LOOKUP($A25,Classes,Classes!AT$3:AT$18))</f>
        <v>#N/A</v>
      </c>
      <c r="AQ50" s="20" t="e">
        <f>IF(LEN($A25&gt;0),LOOKUP($A25,Classes,Classes!AU$3:AU$18))</f>
        <v>#N/A</v>
      </c>
      <c r="AR50" s="20" t="e">
        <f>IF(LEN($A25&gt;0),LOOKUP($A25,Classes,Classes!AV$3:AV$18))</f>
        <v>#N/A</v>
      </c>
      <c r="AS50" s="20" t="e">
        <f>IF(LEN($A25&gt;0),LOOKUP($A25,Classes,Classes!AW$3:AW$18))</f>
        <v>#N/A</v>
      </c>
      <c r="AT50" s="20" t="e">
        <f>IF(LEN($A25&gt;0),LOOKUP($A25,Classes,Classes!AX$3:AX$18))</f>
        <v>#N/A</v>
      </c>
      <c r="AU50" s="20" t="e">
        <f>IF(LEN($A25&gt;0),LOOKUP($A25,Classes,Classes!AY$3:AY$18))</f>
        <v>#N/A</v>
      </c>
      <c r="AV50" s="20" t="e">
        <f>IF(LEN($A25&gt;0),LOOKUP($A25,Classes,Classes!AZ$3:AZ$18))</f>
        <v>#N/A</v>
      </c>
      <c r="AW50" s="20" t="e">
        <f>IF(LEN($A25&gt;0),LOOKUP($A25,Classes,Classes!BA$3:BA$18))</f>
        <v>#N/A</v>
      </c>
      <c r="AX50" s="20" t="e">
        <f>IF(LEN($A25&gt;0),LOOKUP($A25,Classes,Classes!BB$3:BB$18))</f>
        <v>#N/A</v>
      </c>
      <c r="AY50" s="20" t="e">
        <f>IF(LEN($A25&gt;0),LOOKUP($A25,Classes,Classes!BC$3:BC$18))</f>
        <v>#N/A</v>
      </c>
      <c r="AZ50" s="20" t="e">
        <f>IF(LEN($A25&gt;0),LOOKUP($A25,Classes,Classes!BD$3:BD$18))</f>
        <v>#N/A</v>
      </c>
      <c r="BA50" s="20" t="e">
        <f>IF(LEN($A25&gt;0),LOOKUP($A25,Classes,Classes!BE$3:BE$18))</f>
        <v>#N/A</v>
      </c>
      <c r="BB50" s="20" t="e">
        <f>IF(LEN($A25&gt;0),LOOKUP($A25,Classes,Classes!BF$3:BF$18))</f>
        <v>#N/A</v>
      </c>
      <c r="BC50" s="20" t="e">
        <f>IF(LEN($A25&gt;0),LOOKUP($A25,Classes,Classes!BG$3:BG$18))</f>
        <v>#N/A</v>
      </c>
      <c r="BD50" s="20" t="e">
        <f>IF(LEN($A25&gt;0),LOOKUP($A25,Classes,Classes!BH$3:BH$18))</f>
        <v>#N/A</v>
      </c>
      <c r="BE50" s="20" t="e">
        <f>IF(LEN($A25&gt;0),LOOKUP($A25,Classes,Classes!BI$3:BI$18))</f>
        <v>#N/A</v>
      </c>
      <c r="BF50" s="20" t="e">
        <f>IF(LEN($A25&gt;0),LOOKUP($A25,Classes,Classes!BJ$3:BJ$18))</f>
        <v>#N/A</v>
      </c>
    </row>
    <row r="51" spans="7:58" ht="12.75">
      <c r="G51" s="20" t="b">
        <f>Classes!K20</f>
        <v>0</v>
      </c>
      <c r="H51" s="20" t="b">
        <f>Classes!L20</f>
        <v>0</v>
      </c>
      <c r="I51" s="20" t="b">
        <f>Classes!M20</f>
        <v>0</v>
      </c>
      <c r="J51" s="20" t="b">
        <f>Classes!N20</f>
        <v>0</v>
      </c>
      <c r="K51" s="20" t="b">
        <f>Classes!O20</f>
        <v>0</v>
      </c>
      <c r="L51" s="20" t="b">
        <f>Classes!P20</f>
        <v>0</v>
      </c>
      <c r="M51" s="20" t="b">
        <f>Classes!Q20</f>
        <v>0</v>
      </c>
      <c r="N51" s="20" t="b">
        <f>Classes!R20</f>
        <v>0</v>
      </c>
      <c r="O51" s="20" t="b">
        <f>Classes!S20</f>
        <v>0</v>
      </c>
      <c r="P51" s="20" t="b">
        <f>Classes!T20</f>
        <v>0</v>
      </c>
      <c r="Q51" s="20" t="b">
        <f>Classes!U20</f>
        <v>0</v>
      </c>
      <c r="R51" s="20" t="b">
        <f>Classes!V20</f>
        <v>0</v>
      </c>
      <c r="S51" s="20" t="b">
        <f>Classes!W20</f>
        <v>0</v>
      </c>
      <c r="T51" s="20" t="b">
        <f>Classes!X20</f>
        <v>0</v>
      </c>
      <c r="U51" s="20" t="b">
        <f>Classes!Y20</f>
        <v>0</v>
      </c>
      <c r="V51" s="20" t="b">
        <f>Classes!Z20</f>
        <v>0</v>
      </c>
      <c r="W51" s="20" t="b">
        <f>Classes!AA20</f>
        <v>0</v>
      </c>
      <c r="X51" s="20" t="b">
        <f>Classes!AB20</f>
        <v>0</v>
      </c>
      <c r="Y51" s="20" t="b">
        <f>Classes!AC20</f>
        <v>0</v>
      </c>
      <c r="Z51" s="20" t="b">
        <f>Classes!AD20</f>
        <v>0</v>
      </c>
      <c r="AA51" s="20" t="b">
        <f>Classes!AE20</f>
        <v>0</v>
      </c>
      <c r="AB51" s="20" t="b">
        <f>Classes!AF20</f>
        <v>0</v>
      </c>
      <c r="AC51" s="20" t="b">
        <f>Classes!AG20</f>
        <v>0</v>
      </c>
      <c r="AD51" s="20" t="b">
        <f>Classes!AH20</f>
        <v>0</v>
      </c>
      <c r="AE51" s="20" t="b">
        <f>Classes!AI20</f>
        <v>0</v>
      </c>
      <c r="AF51" s="20" t="b">
        <f>Classes!AJ20</f>
        <v>0</v>
      </c>
      <c r="AG51" s="20" t="b">
        <f>Classes!AK20</f>
        <v>0</v>
      </c>
      <c r="AH51" s="20" t="b">
        <f>Classes!AL20</f>
        <v>0</v>
      </c>
      <c r="AI51" s="20" t="b">
        <f>Classes!AM20</f>
        <v>0</v>
      </c>
      <c r="AJ51" s="20" t="b">
        <f>Classes!AN20</f>
        <v>0</v>
      </c>
      <c r="AK51" s="20" t="b">
        <f>Classes!AO20</f>
        <v>0</v>
      </c>
      <c r="AL51" s="20" t="b">
        <f>Classes!AP20</f>
        <v>0</v>
      </c>
      <c r="AM51" s="20" t="b">
        <f>Classes!AQ20</f>
        <v>0</v>
      </c>
      <c r="AN51" s="20" t="b">
        <f>Classes!AR20</f>
        <v>0</v>
      </c>
      <c r="AO51" s="20" t="b">
        <f>Classes!AS20</f>
        <v>0</v>
      </c>
      <c r="AP51" s="20" t="b">
        <f>Classes!AT20</f>
        <v>0</v>
      </c>
      <c r="AQ51" s="20" t="b">
        <f>Classes!AU20</f>
        <v>0</v>
      </c>
      <c r="AR51" s="20" t="b">
        <f>Classes!AV20</f>
        <v>0</v>
      </c>
      <c r="AS51" s="20" t="b">
        <f>Classes!AW20</f>
        <v>0</v>
      </c>
      <c r="AT51" s="20" t="b">
        <f>Classes!AX20</f>
        <v>0</v>
      </c>
      <c r="AU51" s="20" t="b">
        <f>Classes!AY20</f>
        <v>0</v>
      </c>
      <c r="AV51" s="20" t="b">
        <f>Classes!AZ20</f>
        <v>0</v>
      </c>
      <c r="AW51" s="20" t="b">
        <f>Classes!BA20</f>
        <v>0</v>
      </c>
      <c r="AX51" s="20" t="b">
        <f>Classes!BB20</f>
        <v>0</v>
      </c>
      <c r="AY51" s="20" t="b">
        <f>Classes!BC20</f>
        <v>0</v>
      </c>
      <c r="AZ51" s="20" t="b">
        <f>Classes!BD20</f>
        <v>0</v>
      </c>
      <c r="BA51" s="20" t="b">
        <f>Classes!BE20</f>
        <v>0</v>
      </c>
      <c r="BB51" s="20" t="b">
        <f>Classes!BF20</f>
        <v>0</v>
      </c>
      <c r="BC51" s="20" t="b">
        <f>Classes!BG20</f>
        <v>0</v>
      </c>
      <c r="BD51" s="20" t="b">
        <f>Classes!BH20</f>
        <v>0</v>
      </c>
      <c r="BE51" s="20" t="b">
        <f>Classes!BI20</f>
        <v>0</v>
      </c>
      <c r="BF51" s="20" t="b">
        <f>Classes!BJ20</f>
        <v>0</v>
      </c>
    </row>
  </sheetData>
  <sheetProtection sheet="1" objects="1" scenarios="1"/>
  <mergeCells count="73">
    <mergeCell ref="A3:B3"/>
    <mergeCell ref="A5:B5"/>
    <mergeCell ref="D4:F4"/>
    <mergeCell ref="A12:B12"/>
    <mergeCell ref="A13:B13"/>
    <mergeCell ref="A6:B6"/>
    <mergeCell ref="A7:B7"/>
    <mergeCell ref="A8:B8"/>
    <mergeCell ref="A9:B9"/>
    <mergeCell ref="A11:B11"/>
    <mergeCell ref="A27:B27"/>
    <mergeCell ref="A28:B28"/>
    <mergeCell ref="A29:B29"/>
    <mergeCell ref="A14:B14"/>
    <mergeCell ref="A25:B25"/>
    <mergeCell ref="A15:B15"/>
    <mergeCell ref="A16:B16"/>
    <mergeCell ref="A17:B17"/>
    <mergeCell ref="A18:B18"/>
    <mergeCell ref="A19:B19"/>
    <mergeCell ref="K4:K5"/>
    <mergeCell ref="O4:O5"/>
    <mergeCell ref="P4:P5"/>
    <mergeCell ref="E27:F27"/>
    <mergeCell ref="G4:G5"/>
    <mergeCell ref="H4:H5"/>
    <mergeCell ref="I4:I5"/>
    <mergeCell ref="J4:J5"/>
    <mergeCell ref="Q4:Q5"/>
    <mergeCell ref="R4:R5"/>
    <mergeCell ref="S4:S5"/>
    <mergeCell ref="T4:T5"/>
    <mergeCell ref="U4:U5"/>
    <mergeCell ref="V4:V5"/>
    <mergeCell ref="W4:W5"/>
    <mergeCell ref="X4:X5"/>
    <mergeCell ref="Y4:Y5"/>
    <mergeCell ref="Z4:Z5"/>
    <mergeCell ref="AA4:AA5"/>
    <mergeCell ref="AD4:AD5"/>
    <mergeCell ref="AB3:AB5"/>
    <mergeCell ref="AC3:AC5"/>
    <mergeCell ref="AM4:AM5"/>
    <mergeCell ref="AN4:AN5"/>
    <mergeCell ref="AE4:AE5"/>
    <mergeCell ref="AF4:AF5"/>
    <mergeCell ref="AG4:AG5"/>
    <mergeCell ref="AI4:AI5"/>
    <mergeCell ref="AH3:AH5"/>
    <mergeCell ref="AJ4:AJ5"/>
    <mergeCell ref="AL4:AL5"/>
    <mergeCell ref="BE4:BE5"/>
    <mergeCell ref="AX4:AX5"/>
    <mergeCell ref="AY4:AY5"/>
    <mergeCell ref="AZ4:AZ5"/>
    <mergeCell ref="BA4:BA5"/>
    <mergeCell ref="BB4:BB5"/>
    <mergeCell ref="BC4:BC5"/>
    <mergeCell ref="BD4:BD5"/>
    <mergeCell ref="AT4:AT5"/>
    <mergeCell ref="AU4:AU5"/>
    <mergeCell ref="AV4:AV5"/>
    <mergeCell ref="AW4:AW5"/>
    <mergeCell ref="A26:C26"/>
    <mergeCell ref="C1:F1"/>
    <mergeCell ref="C2:F2"/>
    <mergeCell ref="C3:F3"/>
    <mergeCell ref="A24:B24"/>
    <mergeCell ref="A20:B20"/>
    <mergeCell ref="A21:B21"/>
    <mergeCell ref="A22:B22"/>
    <mergeCell ref="A23:B23"/>
    <mergeCell ref="A10:B10"/>
  </mergeCells>
  <conditionalFormatting sqref="F6:F26">
    <cfRule type="cellIs" priority="1" dxfId="2" operator="lessThan" stopIfTrue="1">
      <formula>0</formula>
    </cfRule>
  </conditionalFormatting>
  <conditionalFormatting sqref="G27:BF27">
    <cfRule type="cellIs" priority="2" dxfId="2" operator="equal" stopIfTrue="1">
      <formula>"STOP"</formula>
    </cfRule>
  </conditionalFormatting>
  <conditionalFormatting sqref="G6:BF26">
    <cfRule type="expression" priority="3" dxfId="3" stopIfTrue="1">
      <formula>NOT(G31)</formula>
    </cfRule>
  </conditionalFormatting>
  <dataValidations count="7">
    <dataValidation allowBlank="1" showInputMessage="1" showErrorMessage="1" promptTitle="Craft Skill" prompt="Enter the specific Craft skill (e.g. Carpentry, Leatherworking, Pottery) here." sqref="L5:N5"/>
    <dataValidation type="list" allowBlank="1" showInputMessage="1" showErrorMessage="1" promptTitle="Perform Skill" prompt="Enter the specific Perform skill (e.g. Act, Comedy, Oratory) here." sqref="AO5:AQ5">
      <formula1>"Act, Comedy, Dance, Keyboards, Oratory, Percussion, Strings, Winds, Sing"</formula1>
    </dataValidation>
    <dataValidation allowBlank="1" showInputMessage="1" showErrorMessage="1" promptTitle="Profession Skill" prompt="Enter the specific Profession skill (e.g. brewer, guide, sailor) here." sqref="AR5:AS5"/>
    <dataValidation allowBlank="1" showInputMessage="1" showErrorMessage="1" prompt="If you are using another skill, you can enter it here." sqref="BF5"/>
    <dataValidation allowBlank="1" showInputMessage="1" showErrorMessage="1" prompt="If your intellgence has changed, enter the value at each level where it was different from its current value. If it has not changed, you do not need to enter anything here." sqref="C6:C25"/>
    <dataValidation type="list" allowBlank="1" showInputMessage="1" showErrorMessage="1" prompt="Select the key ability for your custom skill from the drop-down list." sqref="BG5">
      <formula1>"Str,Dex,Con,Int,Wis,Dex"</formula1>
    </dataValidation>
    <dataValidation type="whole" operator="greaterThanOrEqual" allowBlank="1" showInputMessage="1" showErrorMessage="1" sqref="G6:BF25">
      <formula1>0</formula1>
    </dataValidation>
  </dataValidations>
  <hyperlinks>
    <hyperlink ref="A2" location="Feats!A1" display="Feats"/>
    <hyperlink ref="B2" location="Gear!A1" display="Gear"/>
    <hyperlink ref="A3:B3" location="Sheet!A1" display="View the Sheet"/>
    <hyperlink ref="A1" location="Begin!A1" display="Begin"/>
    <hyperlink ref="A30" location="Skills!O1" display="Scroll to D"/>
    <hyperlink ref="B30" location="Skills!V1" display="Scroll to H"/>
    <hyperlink ref="C30" location="Skills!AA1" display="Scroll to K"/>
    <hyperlink ref="D30" location="Skills!AL1" display="Scroll to L"/>
    <hyperlink ref="E30" location="Skills!AU1" display="Scroll to S"/>
    <hyperlink ref="F30" location="Skills!BD1" display="Scroll to T"/>
  </hyperlinks>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Q190"/>
  <sheetViews>
    <sheetView workbookViewId="0" topLeftCell="A13">
      <selection activeCell="D2" sqref="D2:E2"/>
    </sheetView>
  </sheetViews>
  <sheetFormatPr defaultColWidth="9.140625" defaultRowHeight="12.75"/>
  <cols>
    <col min="1" max="16384" width="9.140625" style="1" customWidth="1"/>
  </cols>
  <sheetData>
    <row r="1" spans="1:5" ht="12.75">
      <c r="A1" s="7" t="s">
        <v>0</v>
      </c>
      <c r="B1" s="4" t="s">
        <v>1</v>
      </c>
      <c r="D1" s="108" t="s">
        <v>874</v>
      </c>
      <c r="E1" s="108"/>
    </row>
    <row r="2" spans="1:5" ht="12.75">
      <c r="A2" s="12" t="s">
        <v>2</v>
      </c>
      <c r="B2" s="6" t="s">
        <v>3</v>
      </c>
      <c r="D2" s="130"/>
      <c r="E2" s="130"/>
    </row>
    <row r="3" spans="1:2" ht="12.75">
      <c r="A3" s="112" t="s">
        <v>4</v>
      </c>
      <c r="B3" s="113"/>
    </row>
    <row r="5" spans="1:9" ht="12.75">
      <c r="A5" s="108" t="s">
        <v>875</v>
      </c>
      <c r="B5" s="108"/>
      <c r="C5" s="108"/>
      <c r="D5" s="108" t="s">
        <v>877</v>
      </c>
      <c r="E5" s="108"/>
      <c r="F5" s="108"/>
      <c r="G5" s="108" t="s">
        <v>885</v>
      </c>
      <c r="H5" s="108"/>
      <c r="I5" s="108"/>
    </row>
    <row r="6" spans="1:9" ht="12.75">
      <c r="A6" s="1">
        <f>IF(ChrLevel&gt;0,1,"")</f>
      </c>
      <c r="B6" s="130"/>
      <c r="C6" s="130"/>
      <c r="D6" s="1">
        <f>IF(Classes!C$11&gt;0,1,"")</f>
      </c>
      <c r="E6" s="130"/>
      <c r="F6" s="130"/>
      <c r="G6" s="1">
        <f>IF(COUNTIF(Begin!H$68:I$71,"Feat")&gt;0,1,"")</f>
      </c>
      <c r="H6" s="130"/>
      <c r="I6" s="130"/>
    </row>
    <row r="7" spans="1:9" ht="12.75">
      <c r="A7" s="1">
        <f>IF(ChrLevel&gt;2,3,"")</f>
      </c>
      <c r="B7" s="130"/>
      <c r="C7" s="130"/>
      <c r="D7" s="1">
        <f>IF(Classes!C$11&gt;1,2,"")</f>
      </c>
      <c r="E7" s="130"/>
      <c r="F7" s="130"/>
      <c r="G7" s="1">
        <f>IF(COUNTIF(Begin!H$68:I$71,"Feat")&gt;1,2,"")</f>
      </c>
      <c r="H7" s="130"/>
      <c r="I7" s="130"/>
    </row>
    <row r="8" spans="1:9" ht="12.75">
      <c r="A8" s="1">
        <f>IF(ChrLevel&gt;5,6,"")</f>
      </c>
      <c r="B8" s="130"/>
      <c r="C8" s="130"/>
      <c r="D8" s="1">
        <f>IF(Classes!C$11&gt;3,4,"")</f>
      </c>
      <c r="E8" s="130"/>
      <c r="F8" s="130"/>
      <c r="G8" s="1">
        <f>IF(COUNTIF(Begin!H$68:I$71,"Feat")&gt;2,3,"")</f>
      </c>
      <c r="H8" s="130"/>
      <c r="I8" s="130"/>
    </row>
    <row r="9" spans="1:9" ht="12.75">
      <c r="A9" s="1">
        <f>IF(ChrLevel&gt;8,9,"")</f>
      </c>
      <c r="B9" s="130"/>
      <c r="C9" s="130"/>
      <c r="D9" s="1">
        <f>IF(Classes!C$11&gt;5,6,"")</f>
      </c>
      <c r="E9" s="130"/>
      <c r="F9" s="130"/>
      <c r="G9" s="1">
        <f>IF(COUNTIF(Begin!H$68:I$71,"Feat")&gt;3,4,"")</f>
      </c>
      <c r="H9" s="130"/>
      <c r="I9" s="130"/>
    </row>
    <row r="10" spans="1:6" ht="12.75">
      <c r="A10" s="1">
        <f>IF(ChrLevel&gt;11,12,"")</f>
      </c>
      <c r="B10" s="130"/>
      <c r="C10" s="130"/>
      <c r="D10" s="1">
        <f>IF(Classes!C$11&gt;7,8,"")</f>
      </c>
      <c r="E10" s="130"/>
      <c r="F10" s="130"/>
    </row>
    <row r="11" spans="1:6" ht="12.75">
      <c r="A11" s="1">
        <f>IF(ChrLevel&gt;14,15,"")</f>
      </c>
      <c r="B11" s="130"/>
      <c r="C11" s="130"/>
      <c r="D11" s="1">
        <f>IF(Classes!C$11&gt;9,10,"")</f>
      </c>
      <c r="E11" s="130"/>
      <c r="F11" s="130"/>
    </row>
    <row r="12" spans="1:6" ht="12.75">
      <c r="A12" s="1">
        <f>IF(ChrLevel&gt;17,18,"")</f>
      </c>
      <c r="B12" s="130"/>
      <c r="C12" s="130"/>
      <c r="D12" s="1">
        <f>IF(Classes!C$11&gt;11,12,"")</f>
      </c>
      <c r="E12" s="130"/>
      <c r="F12" s="130"/>
    </row>
    <row r="13" spans="4:6" ht="12.75">
      <c r="D13" s="1">
        <f>IF(Classes!C$11&gt;13,14,"")</f>
      </c>
      <c r="E13" s="130"/>
      <c r="F13" s="130"/>
    </row>
    <row r="14" spans="1:6" ht="12.75">
      <c r="A14" s="108" t="s">
        <v>876</v>
      </c>
      <c r="B14" s="108"/>
      <c r="C14" s="108"/>
      <c r="D14" s="1">
        <f>IF(Classes!C$11&gt;15,16,"")</f>
      </c>
      <c r="E14" s="130"/>
      <c r="F14" s="130"/>
    </row>
    <row r="15" spans="1:6" ht="12.75">
      <c r="A15" s="1">
        <f>IF(Classes!C$18&gt;4,5,"")</f>
      </c>
      <c r="B15" s="130"/>
      <c r="C15" s="130"/>
      <c r="D15" s="1">
        <f>IF(Classes!C$11&gt;17,18,"")</f>
      </c>
      <c r="E15" s="130"/>
      <c r="F15" s="130"/>
    </row>
    <row r="16" spans="1:6" ht="12.75">
      <c r="A16" s="1">
        <f>IF(Classes!C$18&gt;9,10,"")</f>
      </c>
      <c r="B16" s="130"/>
      <c r="C16" s="130"/>
      <c r="D16" s="1">
        <f>IF(Classes!C$11&gt;19,20,"")</f>
      </c>
      <c r="E16" s="130"/>
      <c r="F16" s="130"/>
    </row>
    <row r="17" spans="1:3" ht="12.75">
      <c r="A17" s="1">
        <f>IF(Classes!C$18&gt;14,15,"")</f>
      </c>
      <c r="B17" s="130"/>
      <c r="C17" s="130"/>
    </row>
    <row r="18" spans="1:3" ht="12.75">
      <c r="A18" s="1">
        <f>IF(Classes!C$18&gt;19,20,"")</f>
      </c>
      <c r="B18" s="130"/>
      <c r="C18" s="130"/>
    </row>
    <row r="20" spans="1:12" ht="12.75">
      <c r="A20" s="111" t="s">
        <v>878</v>
      </c>
      <c r="B20" s="111"/>
      <c r="C20" s="111"/>
      <c r="D20" s="111"/>
      <c r="E20" s="111"/>
      <c r="F20" s="111"/>
      <c r="G20" s="111"/>
      <c r="H20" s="111"/>
      <c r="I20" s="111"/>
      <c r="J20" s="111"/>
      <c r="K20" s="73"/>
      <c r="L20" s="73"/>
    </row>
    <row r="21" spans="1:10" ht="12.75">
      <c r="A21" s="131" t="s">
        <v>886</v>
      </c>
      <c r="B21" s="108"/>
      <c r="C21" s="108"/>
      <c r="D21" s="108"/>
      <c r="E21" s="108"/>
      <c r="F21" s="108"/>
      <c r="G21" s="108"/>
      <c r="H21" s="108"/>
      <c r="I21" s="108"/>
      <c r="J21" s="108"/>
    </row>
    <row r="22" spans="1:12" ht="12.75">
      <c r="A22" s="123" t="s">
        <v>879</v>
      </c>
      <c r="B22" s="123"/>
      <c r="C22" s="123" t="s">
        <v>840</v>
      </c>
      <c r="D22" s="123"/>
      <c r="E22" s="123" t="s">
        <v>284</v>
      </c>
      <c r="F22" s="123"/>
      <c r="G22" s="123" t="s">
        <v>299</v>
      </c>
      <c r="H22" s="123"/>
      <c r="I22" s="123" t="s">
        <v>300</v>
      </c>
      <c r="J22" s="123"/>
      <c r="K22" s="123" t="s">
        <v>333</v>
      </c>
      <c r="L22" s="123"/>
    </row>
    <row r="23" spans="1:12" ht="12.75">
      <c r="A23" s="130"/>
      <c r="B23" s="130"/>
      <c r="C23" s="130"/>
      <c r="D23" s="130"/>
      <c r="E23" s="130"/>
      <c r="F23" s="130"/>
      <c r="G23" s="130"/>
      <c r="H23" s="130"/>
      <c r="I23" s="130"/>
      <c r="J23" s="130"/>
      <c r="K23" s="130"/>
      <c r="L23" s="130"/>
    </row>
    <row r="24" spans="1:12" ht="12.75">
      <c r="A24" s="130"/>
      <c r="B24" s="130"/>
      <c r="C24" s="130"/>
      <c r="D24" s="130"/>
      <c r="E24" s="130"/>
      <c r="F24" s="130"/>
      <c r="G24" s="130"/>
      <c r="H24" s="130"/>
      <c r="I24" s="130"/>
      <c r="J24" s="130"/>
      <c r="K24" s="130"/>
      <c r="L24" s="130"/>
    </row>
    <row r="25" spans="1:12" ht="12.75">
      <c r="A25" s="130"/>
      <c r="B25" s="130"/>
      <c r="C25" s="130"/>
      <c r="D25" s="130"/>
      <c r="E25" s="130"/>
      <c r="F25" s="130"/>
      <c r="G25" s="130"/>
      <c r="H25" s="130"/>
      <c r="I25" s="130"/>
      <c r="J25" s="130"/>
      <c r="K25" s="130"/>
      <c r="L25" s="130"/>
    </row>
    <row r="26" spans="1:12" ht="12.75">
      <c r="A26" s="130"/>
      <c r="B26" s="130"/>
      <c r="C26" s="130"/>
      <c r="D26" s="130"/>
      <c r="E26" s="130"/>
      <c r="F26" s="130"/>
      <c r="G26" s="130"/>
      <c r="H26" s="130"/>
      <c r="I26" s="130"/>
      <c r="J26" s="130"/>
      <c r="K26" s="130"/>
      <c r="L26" s="130"/>
    </row>
    <row r="27" spans="1:12" ht="12.75">
      <c r="A27" s="130"/>
      <c r="B27" s="130"/>
      <c r="C27" s="130"/>
      <c r="D27" s="130"/>
      <c r="E27" s="130"/>
      <c r="F27" s="130"/>
      <c r="G27" s="130"/>
      <c r="H27" s="130"/>
      <c r="I27" s="130"/>
      <c r="J27" s="130"/>
      <c r="K27" s="130"/>
      <c r="L27" s="130"/>
    </row>
    <row r="28" spans="1:12" ht="12.75">
      <c r="A28" s="130"/>
      <c r="B28" s="130"/>
      <c r="C28" s="130"/>
      <c r="D28" s="130"/>
      <c r="E28" s="130"/>
      <c r="F28" s="130"/>
      <c r="G28" s="130"/>
      <c r="H28" s="130"/>
      <c r="I28" s="130"/>
      <c r="J28" s="130"/>
      <c r="K28" s="130"/>
      <c r="L28" s="130"/>
    </row>
    <row r="29" spans="1:12" ht="12.75">
      <c r="A29" s="130"/>
      <c r="B29" s="130"/>
      <c r="C29" s="130"/>
      <c r="D29" s="130"/>
      <c r="E29" s="130"/>
      <c r="F29" s="130"/>
      <c r="G29" s="130"/>
      <c r="H29" s="130"/>
      <c r="I29" s="130"/>
      <c r="J29" s="130"/>
      <c r="K29" s="130"/>
      <c r="L29" s="130"/>
    </row>
    <row r="30" spans="1:12" ht="12.75">
      <c r="A30" s="130"/>
      <c r="B30" s="130"/>
      <c r="C30" s="130"/>
      <c r="D30" s="130"/>
      <c r="E30" s="130"/>
      <c r="F30" s="130"/>
      <c r="G30" s="130"/>
      <c r="H30" s="130"/>
      <c r="I30" s="130"/>
      <c r="J30" s="130"/>
      <c r="K30" s="130"/>
      <c r="L30" s="130"/>
    </row>
    <row r="31" spans="1:12" ht="12.75">
      <c r="A31" s="130"/>
      <c r="B31" s="130"/>
      <c r="C31" s="130"/>
      <c r="D31" s="130"/>
      <c r="E31" s="130"/>
      <c r="F31" s="130"/>
      <c r="G31" s="130"/>
      <c r="H31" s="130"/>
      <c r="I31" s="130"/>
      <c r="J31" s="130"/>
      <c r="K31" s="130"/>
      <c r="L31" s="130"/>
    </row>
    <row r="32" spans="1:12" ht="12.75">
      <c r="A32" s="130"/>
      <c r="B32" s="130"/>
      <c r="C32" s="130"/>
      <c r="D32" s="130"/>
      <c r="E32" s="130"/>
      <c r="F32" s="130"/>
      <c r="G32" s="130"/>
      <c r="H32" s="130"/>
      <c r="I32" s="130"/>
      <c r="J32" s="130"/>
      <c r="K32" s="130"/>
      <c r="L32" s="130"/>
    </row>
    <row r="33" spans="1:12" ht="12.75">
      <c r="A33" s="130"/>
      <c r="B33" s="130"/>
      <c r="C33" s="130"/>
      <c r="D33" s="130"/>
      <c r="E33" s="130"/>
      <c r="F33" s="130"/>
      <c r="G33" s="130"/>
      <c r="H33" s="130"/>
      <c r="I33" s="130"/>
      <c r="J33" s="130"/>
      <c r="K33" s="130"/>
      <c r="L33" s="130"/>
    </row>
    <row r="34" spans="1:12" ht="12.75">
      <c r="A34" s="130"/>
      <c r="B34" s="130"/>
      <c r="C34" s="130"/>
      <c r="D34" s="130"/>
      <c r="E34" s="130"/>
      <c r="F34" s="130"/>
      <c r="G34" s="130"/>
      <c r="H34" s="130"/>
      <c r="I34" s="130"/>
      <c r="J34" s="130"/>
      <c r="K34" s="130"/>
      <c r="L34" s="130"/>
    </row>
    <row r="35" spans="1:10" ht="12.75">
      <c r="A35" s="123" t="s">
        <v>239</v>
      </c>
      <c r="B35" s="123"/>
      <c r="C35" s="123" t="s">
        <v>282</v>
      </c>
      <c r="D35" s="123"/>
      <c r="E35" s="123" t="s">
        <v>231</v>
      </c>
      <c r="F35" s="123"/>
      <c r="G35" s="123" t="s">
        <v>234</v>
      </c>
      <c r="H35" s="123"/>
      <c r="I35" s="123" t="s">
        <v>235</v>
      </c>
      <c r="J35" s="123"/>
    </row>
    <row r="36" spans="1:10" ht="12.75">
      <c r="A36" s="130"/>
      <c r="B36" s="130"/>
      <c r="C36" s="130"/>
      <c r="D36" s="130"/>
      <c r="E36" s="130"/>
      <c r="F36" s="130"/>
      <c r="G36" s="130"/>
      <c r="H36" s="130"/>
      <c r="I36" s="130"/>
      <c r="J36" s="130"/>
    </row>
    <row r="37" spans="1:10" ht="12.75">
      <c r="A37" s="130"/>
      <c r="B37" s="130"/>
      <c r="C37" s="130"/>
      <c r="D37" s="130"/>
      <c r="E37" s="130"/>
      <c r="F37" s="130"/>
      <c r="G37" s="130"/>
      <c r="H37" s="130"/>
      <c r="I37" s="130"/>
      <c r="J37" s="130"/>
    </row>
    <row r="38" spans="1:10" ht="12.75">
      <c r="A38" s="130"/>
      <c r="B38" s="130"/>
      <c r="C38" s="130"/>
      <c r="D38" s="130"/>
      <c r="E38" s="130"/>
      <c r="F38" s="130"/>
      <c r="G38" s="130"/>
      <c r="H38" s="130"/>
      <c r="I38" s="130"/>
      <c r="J38" s="130"/>
    </row>
    <row r="39" spans="1:10" ht="12.75">
      <c r="A39" s="130"/>
      <c r="B39" s="130"/>
      <c r="C39" s="130"/>
      <c r="D39" s="130"/>
      <c r="E39" s="130"/>
      <c r="F39" s="130"/>
      <c r="G39" s="130"/>
      <c r="H39" s="130"/>
      <c r="I39" s="130"/>
      <c r="J39" s="130"/>
    </row>
    <row r="40" spans="1:10" ht="12.75">
      <c r="A40" s="130"/>
      <c r="B40" s="130"/>
      <c r="C40" s="130"/>
      <c r="D40" s="130"/>
      <c r="E40" s="130"/>
      <c r="F40" s="130"/>
      <c r="G40" s="130"/>
      <c r="H40" s="130"/>
      <c r="I40" s="130"/>
      <c r="J40" s="130"/>
    </row>
    <row r="41" spans="1:10" ht="12.75">
      <c r="A41" s="130"/>
      <c r="B41" s="130"/>
      <c r="C41" s="130"/>
      <c r="D41" s="130"/>
      <c r="E41" s="130"/>
      <c r="F41" s="130"/>
      <c r="G41" s="130"/>
      <c r="H41" s="130"/>
      <c r="I41" s="130"/>
      <c r="J41" s="130"/>
    </row>
    <row r="42" spans="1:10" ht="12.75">
      <c r="A42" s="130"/>
      <c r="B42" s="130"/>
      <c r="C42" s="130"/>
      <c r="D42" s="130"/>
      <c r="E42" s="130"/>
      <c r="F42" s="130"/>
      <c r="G42" s="130"/>
      <c r="H42" s="130"/>
      <c r="I42" s="130"/>
      <c r="J42" s="130"/>
    </row>
    <row r="43" spans="1:10" ht="12.75">
      <c r="A43" s="130"/>
      <c r="B43" s="130"/>
      <c r="C43" s="130"/>
      <c r="D43" s="130"/>
      <c r="E43" s="130"/>
      <c r="F43" s="130"/>
      <c r="G43" s="130"/>
      <c r="H43" s="130"/>
      <c r="I43" s="130"/>
      <c r="J43" s="130"/>
    </row>
    <row r="44" spans="1:10" ht="12.75">
      <c r="A44" s="130"/>
      <c r="B44" s="130"/>
      <c r="C44" s="130"/>
      <c r="D44" s="130"/>
      <c r="E44" s="130"/>
      <c r="F44" s="130"/>
      <c r="G44" s="130"/>
      <c r="H44" s="130"/>
      <c r="I44" s="130"/>
      <c r="J44" s="130"/>
    </row>
    <row r="45" spans="1:10" ht="12.75">
      <c r="A45" s="130"/>
      <c r="B45" s="130"/>
      <c r="C45" s="130"/>
      <c r="D45" s="130"/>
      <c r="E45" s="130"/>
      <c r="F45" s="130"/>
      <c r="G45" s="130"/>
      <c r="H45" s="130"/>
      <c r="I45" s="130"/>
      <c r="J45" s="130"/>
    </row>
    <row r="46" spans="1:10" ht="12.75">
      <c r="A46" s="130"/>
      <c r="B46" s="130"/>
      <c r="C46" s="130"/>
      <c r="D46" s="130"/>
      <c r="E46" s="130"/>
      <c r="F46" s="130"/>
      <c r="G46" s="130"/>
      <c r="H46" s="130"/>
      <c r="I46" s="130"/>
      <c r="J46" s="130"/>
    </row>
    <row r="47" spans="1:10" ht="12.75">
      <c r="A47" s="130"/>
      <c r="B47" s="130"/>
      <c r="C47" s="130"/>
      <c r="D47" s="130"/>
      <c r="E47" s="130"/>
      <c r="F47" s="130"/>
      <c r="G47" s="130"/>
      <c r="H47" s="130"/>
      <c r="I47" s="130"/>
      <c r="J47" s="130"/>
    </row>
    <row r="48" spans="1:17" ht="12.75">
      <c r="A48" s="135" t="s">
        <v>880</v>
      </c>
      <c r="B48" s="136"/>
      <c r="C48" s="34" t="s">
        <v>303</v>
      </c>
      <c r="D48" s="34" t="s">
        <v>881</v>
      </c>
      <c r="E48" s="34" t="s">
        <v>882</v>
      </c>
      <c r="F48" s="34" t="s">
        <v>883</v>
      </c>
      <c r="G48" s="34" t="s">
        <v>884</v>
      </c>
      <c r="H48" s="34" t="s">
        <v>119</v>
      </c>
      <c r="I48" s="137" t="s">
        <v>887</v>
      </c>
      <c r="J48" s="123"/>
      <c r="K48" s="123"/>
      <c r="L48" s="123" t="s">
        <v>888</v>
      </c>
      <c r="M48" s="123"/>
      <c r="N48" s="123"/>
      <c r="O48" s="123" t="s">
        <v>889</v>
      </c>
      <c r="P48" s="123"/>
      <c r="Q48" s="123"/>
    </row>
    <row r="49" spans="1:17" ht="12.75">
      <c r="A49" s="132" t="s">
        <v>193</v>
      </c>
      <c r="B49" s="132"/>
      <c r="C49" s="79" t="b">
        <v>1</v>
      </c>
      <c r="D49" s="34" t="b">
        <v>0</v>
      </c>
      <c r="E49" s="34" t="b">
        <v>0</v>
      </c>
      <c r="F49" s="34"/>
      <c r="G49" s="34">
        <f aca="true" t="shared" si="0" ref="G49:G80">COUNTIF(L$164:L$190,A49)</f>
        <v>0</v>
      </c>
      <c r="H49" s="82">
        <f aca="true" t="shared" si="1" ref="H49:H80">SUM(F49,IF(C49,G49,0))</f>
        <v>0</v>
      </c>
      <c r="I49" s="1" t="str">
        <f>IF(AND(C49,H49=0),A49)</f>
        <v>Acrobatic</v>
      </c>
      <c r="J49" s="81">
        <f>MATCH("*",I49:I159,0)</f>
        <v>1</v>
      </c>
      <c r="K49" s="1" t="str">
        <f ca="1">IF(ISNA(J49),"^",IF(J49&gt;ROW(I$159)-ROW(I$48),"^",OFFSET(I$48,J49,0)))</f>
        <v>Acrobatic</v>
      </c>
      <c r="L49" s="1" t="b">
        <f>IF(AND(C49,D49,H49=0),A49)</f>
        <v>0</v>
      </c>
      <c r="M49" s="81">
        <f>MATCH("*",L49:L159,0)</f>
        <v>28</v>
      </c>
      <c r="N49" s="1" t="str">
        <f ca="1">IF(ISNA(M49),"^",IF(M49&gt;ROW(L$159)-ROW(L$48),"^",OFFSET(L$48,M49,0)))</f>
        <v>Empower Spell</v>
      </c>
      <c r="O49" s="1" t="b">
        <f>IF(AND(C49,E49,H49=0),A49)</f>
        <v>0</v>
      </c>
      <c r="P49" s="81">
        <f>MATCH("*",O49:O159,0)</f>
        <v>10</v>
      </c>
      <c r="Q49" s="1" t="str">
        <f ca="1">IF(ISNA(P49),"^",IF(P49&gt;ROW(O$159)-ROW(O$48),"^",OFFSET(O$48,P49,0)))</f>
        <v>Blind-Fight</v>
      </c>
    </row>
    <row r="50" spans="1:17" ht="12.75">
      <c r="A50" s="132" t="s">
        <v>194</v>
      </c>
      <c r="B50" s="132"/>
      <c r="C50" s="79" t="b">
        <v>1</v>
      </c>
      <c r="D50" s="34" t="b">
        <v>0</v>
      </c>
      <c r="E50" s="34" t="b">
        <v>0</v>
      </c>
      <c r="F50" s="34"/>
      <c r="G50" s="34">
        <f t="shared" si="0"/>
        <v>0</v>
      </c>
      <c r="H50" s="82">
        <f t="shared" si="1"/>
        <v>0</v>
      </c>
      <c r="I50" s="1" t="str">
        <f aca="true" t="shared" si="2" ref="I50:I113">IF(AND(C50,H50=0),A50)</f>
        <v>Agile</v>
      </c>
      <c r="J50" s="81">
        <f ca="1">MATCH("*",OFFSET(I$49,J49,0):I$159,0)+J49</f>
        <v>2</v>
      </c>
      <c r="K50" s="1" t="str">
        <f aca="true" ca="1" t="shared" si="3" ref="K50:K113">IF(ISNA(J50),"^",IF(J50&gt;ROW(I$159)-ROW(I$48),"^",OFFSET(I$48,J50,0)))</f>
        <v>Agile</v>
      </c>
      <c r="L50" s="1" t="b">
        <f aca="true" t="shared" si="4" ref="L50:L113">IF(AND(C50,D50,H50=0),A50)</f>
        <v>0</v>
      </c>
      <c r="M50" s="81">
        <f ca="1">MATCH("*",OFFSET(L$49,M49,0):L$159,0)+M49</f>
        <v>30</v>
      </c>
      <c r="N50" s="1" t="str">
        <f aca="true" ca="1" t="shared" si="5" ref="N50:N113">IF(ISNA(M50),"^",IF(M50&gt;ROW(L$159)-ROW(L$48),"^",OFFSET(L$48,M50,0)))</f>
        <v>Enlarge Spell</v>
      </c>
      <c r="O50" s="1" t="b">
        <f aca="true" t="shared" si="6" ref="O50:O113">IF(AND(C50,E50,H50=0),A50)</f>
        <v>0</v>
      </c>
      <c r="P50" s="81">
        <f ca="1">MATCH("*",OFFSET(O$49,P49,0):O$159,0)+P49</f>
        <v>15</v>
      </c>
      <c r="Q50" s="1" t="str">
        <f aca="true" ca="1" t="shared" si="7" ref="Q50:Q113">IF(ISNA(P50),"^",IF(P50&gt;ROW(O$159)-ROW(O$48),"^",OFFSET(O$48,P50,0)))</f>
        <v>Combat Reflexes</v>
      </c>
    </row>
    <row r="51" spans="1:17" ht="12.75">
      <c r="A51" s="132" t="s">
        <v>195</v>
      </c>
      <c r="B51" s="132"/>
      <c r="C51" s="79" t="b">
        <v>1</v>
      </c>
      <c r="D51" s="34" t="b">
        <v>0</v>
      </c>
      <c r="E51" s="34" t="b">
        <v>0</v>
      </c>
      <c r="F51" s="34"/>
      <c r="G51" s="34">
        <f t="shared" si="0"/>
        <v>0</v>
      </c>
      <c r="H51" s="82">
        <f t="shared" si="1"/>
        <v>0</v>
      </c>
      <c r="I51" s="1" t="str">
        <f t="shared" si="2"/>
        <v>Alertness</v>
      </c>
      <c r="J51" s="81">
        <f ca="1">MATCH("*",OFFSET(I$49,J50,0):I$159,0)+J50</f>
        <v>3</v>
      </c>
      <c r="K51" s="1" t="str">
        <f ca="1" t="shared" si="3"/>
        <v>Alertness</v>
      </c>
      <c r="L51" s="1" t="b">
        <f t="shared" si="4"/>
        <v>0</v>
      </c>
      <c r="M51" s="81">
        <f ca="1">MATCH("*",OFFSET(L$49,M50,0):L$159,0)+M50</f>
        <v>33</v>
      </c>
      <c r="N51" s="1" t="str">
        <f ca="1" t="shared" si="5"/>
        <v>Extend Spell</v>
      </c>
      <c r="O51" s="1" t="b">
        <f t="shared" si="6"/>
        <v>0</v>
      </c>
      <c r="P51" s="81">
        <f ca="1">MATCH("*",OFFSET(O$49,P50,0):O$159,0)+P50</f>
        <v>51</v>
      </c>
      <c r="Q51" s="1" t="str">
        <f ca="1" t="shared" si="7"/>
        <v>Improved Initiative</v>
      </c>
    </row>
    <row r="52" spans="1:17" ht="12.75">
      <c r="A52" s="132" t="s">
        <v>196</v>
      </c>
      <c r="B52" s="132"/>
      <c r="C52" s="79" t="b">
        <v>1</v>
      </c>
      <c r="D52" s="34" t="b">
        <v>0</v>
      </c>
      <c r="E52" s="34" t="b">
        <v>0</v>
      </c>
      <c r="F52" s="34"/>
      <c r="G52" s="34">
        <f t="shared" si="0"/>
        <v>0</v>
      </c>
      <c r="H52" s="82">
        <f t="shared" si="1"/>
        <v>0</v>
      </c>
      <c r="I52" s="1" t="str">
        <f t="shared" si="2"/>
        <v>Animal Affinity</v>
      </c>
      <c r="J52" s="81">
        <f ca="1">MATCH("*",OFFSET(I$49,J51,0):I$159,0)+J51</f>
        <v>4</v>
      </c>
      <c r="K52" s="1" t="str">
        <f ca="1" t="shared" si="3"/>
        <v>Animal Affinity</v>
      </c>
      <c r="L52" s="1" t="b">
        <f t="shared" si="4"/>
        <v>0</v>
      </c>
      <c r="M52" s="81">
        <f ca="1">MATCH("*",OFFSET(L$49,M51,0):L$159,0)+M51</f>
        <v>44</v>
      </c>
      <c r="N52" s="1" t="str">
        <f ca="1" t="shared" si="5"/>
        <v>Heighten Spell</v>
      </c>
      <c r="O52" s="1" t="b">
        <f t="shared" si="6"/>
        <v>0</v>
      </c>
      <c r="P52" s="81">
        <f ca="1">MATCH("*",OFFSET(O$49,P51,0):O$159,0)+P51</f>
        <v>59</v>
      </c>
      <c r="Q52" s="1" t="str">
        <f ca="1" t="shared" si="7"/>
        <v>Improved Unarmed Strike</v>
      </c>
    </row>
    <row r="53" spans="1:17" ht="12.75">
      <c r="A53" s="132" t="s">
        <v>197</v>
      </c>
      <c r="B53" s="132"/>
      <c r="C53" s="79" t="b">
        <f>AND(H54&gt;0,H55&gt;0)</f>
        <v>0</v>
      </c>
      <c r="D53" s="34" t="b">
        <v>0</v>
      </c>
      <c r="E53" s="34" t="b">
        <v>0</v>
      </c>
      <c r="F53" s="34">
        <f>IF(SUM(Classes!E4,Classes!C7,Classes!C11,Classes!C13,Classes!E17)&gt;0,1,"")</f>
      </c>
      <c r="G53" s="34">
        <f t="shared" si="0"/>
        <v>0</v>
      </c>
      <c r="H53" s="82">
        <f t="shared" si="1"/>
        <v>0</v>
      </c>
      <c r="I53" s="1" t="b">
        <f t="shared" si="2"/>
        <v>0</v>
      </c>
      <c r="J53" s="81">
        <f ca="1">MATCH("*",OFFSET(I$49,J52,0):I$159,0)+J52</f>
        <v>7</v>
      </c>
      <c r="K53" s="1" t="str">
        <f ca="1" t="shared" si="3"/>
        <v>Armor Proficiency (Light)</v>
      </c>
      <c r="L53" s="1" t="b">
        <f t="shared" si="4"/>
        <v>0</v>
      </c>
      <c r="M53" s="81">
        <f ca="1">MATCH("*",OFFSET(L$49,M52,0):L$159,0)+M52</f>
        <v>67</v>
      </c>
      <c r="N53" s="1" t="str">
        <f ca="1" t="shared" si="5"/>
        <v>Maximize Spell</v>
      </c>
      <c r="O53" s="1" t="b">
        <f t="shared" si="6"/>
        <v>0</v>
      </c>
      <c r="P53" s="81">
        <f ca="1">MATCH("*",OFFSET(O$49,P52,0):O$159,0)+P52</f>
        <v>74</v>
      </c>
      <c r="Q53" s="1" t="str">
        <f ca="1" t="shared" si="7"/>
        <v>Other</v>
      </c>
    </row>
    <row r="54" spans="1:17" ht="12.75">
      <c r="A54" s="132" t="s">
        <v>198</v>
      </c>
      <c r="B54" s="132"/>
      <c r="C54" s="79" t="b">
        <f>H55&gt;0</f>
        <v>0</v>
      </c>
      <c r="D54" s="34" t="b">
        <v>0</v>
      </c>
      <c r="E54" s="34" t="b">
        <v>0</v>
      </c>
      <c r="F54" s="34">
        <f>IF(SUM(Classes!C4,Classes!C5,Classes!C6,Classes!C7,Classes!C9,Classes!C11,Classes!C13,Classes!C17)&gt;0,1,"")</f>
      </c>
      <c r="G54" s="34">
        <f t="shared" si="0"/>
        <v>0</v>
      </c>
      <c r="H54" s="82">
        <f t="shared" si="1"/>
        <v>0</v>
      </c>
      <c r="I54" s="1" t="b">
        <f t="shared" si="2"/>
        <v>0</v>
      </c>
      <c r="J54" s="81">
        <f ca="1">MATCH("*",OFFSET(I$49,J53,0):I$159,0)+J53</f>
        <v>8</v>
      </c>
      <c r="K54" s="1" t="str">
        <f ca="1" t="shared" si="3"/>
        <v>Athletic</v>
      </c>
      <c r="L54" s="1" t="b">
        <f t="shared" si="4"/>
        <v>0</v>
      </c>
      <c r="M54" s="81">
        <f ca="1">MATCH("*",OFFSET(L$49,M53,0):L$159,0)+M53</f>
        <v>74</v>
      </c>
      <c r="N54" s="1" t="str">
        <f ca="1" t="shared" si="5"/>
        <v>Other</v>
      </c>
      <c r="O54" s="1" t="b">
        <f t="shared" si="6"/>
        <v>0</v>
      </c>
      <c r="P54" s="81">
        <f ca="1">MATCH("*",OFFSET(O$49,P53,0):O$159,0)+P53</f>
        <v>76</v>
      </c>
      <c r="Q54" s="1" t="str">
        <f ca="1" t="shared" si="7"/>
        <v>Point Blank Shot</v>
      </c>
    </row>
    <row r="55" spans="1:17" ht="12.75">
      <c r="A55" s="132" t="s">
        <v>199</v>
      </c>
      <c r="B55" s="132"/>
      <c r="C55" s="79" t="b">
        <v>1</v>
      </c>
      <c r="D55" s="34" t="b">
        <v>0</v>
      </c>
      <c r="E55" s="34" t="b">
        <v>0</v>
      </c>
      <c r="F55" s="34">
        <f>IF(SUM(Classes!C4,Classes!C5,Classes!C6,Classes!C7,Classes!C9,Classes!C10,Classes!C11,Classes!C13,Classes!C14,Classes!C15,Classes!C17)&gt;0,1,"")</f>
      </c>
      <c r="G55" s="34">
        <f t="shared" si="0"/>
        <v>0</v>
      </c>
      <c r="H55" s="82">
        <f t="shared" si="1"/>
        <v>0</v>
      </c>
      <c r="I55" s="1" t="str">
        <f t="shared" si="2"/>
        <v>Armor Proficiency (Light)</v>
      </c>
      <c r="J55" s="81">
        <f ca="1">MATCH("*",OFFSET(I$49,J54,0):I$159,0)+J54</f>
        <v>10</v>
      </c>
      <c r="K55" s="1" t="str">
        <f ca="1" t="shared" si="3"/>
        <v>Blind-Fight</v>
      </c>
      <c r="L55" s="1" t="b">
        <f t="shared" si="4"/>
        <v>0</v>
      </c>
      <c r="M55" s="81">
        <f ca="1">MATCH("*",OFFSET(L$49,M54,0):L$159,0)+M54</f>
        <v>80</v>
      </c>
      <c r="N55" s="1" t="str">
        <f ca="1" t="shared" si="5"/>
        <v>Quicken Spell</v>
      </c>
      <c r="O55" s="1" t="b">
        <f t="shared" si="6"/>
        <v>0</v>
      </c>
      <c r="P55" s="81" t="e">
        <f ca="1">MATCH("*",OFFSET(O$49,P54,0):O$159,0)+P54</f>
        <v>#N/A</v>
      </c>
      <c r="Q55" s="1" t="str">
        <f ca="1" t="shared" si="7"/>
        <v>^</v>
      </c>
    </row>
    <row r="56" spans="1:17" ht="12.75">
      <c r="A56" s="132" t="s">
        <v>200</v>
      </c>
      <c r="B56" s="132"/>
      <c r="C56" s="79" t="b">
        <v>1</v>
      </c>
      <c r="D56" s="34" t="b">
        <v>0</v>
      </c>
      <c r="E56" s="34" t="b">
        <v>0</v>
      </c>
      <c r="F56" s="34"/>
      <c r="G56" s="34">
        <f t="shared" si="0"/>
        <v>0</v>
      </c>
      <c r="H56" s="82">
        <f t="shared" si="1"/>
        <v>0</v>
      </c>
      <c r="I56" s="1" t="str">
        <f t="shared" si="2"/>
        <v>Athletic</v>
      </c>
      <c r="J56" s="81">
        <f ca="1">MATCH("*",OFFSET(I$49,J55,0):I$159,0)+J55</f>
        <v>13</v>
      </c>
      <c r="K56" s="1" t="str">
        <f ca="1" t="shared" si="3"/>
        <v>Combat Casting</v>
      </c>
      <c r="L56" s="1" t="b">
        <f t="shared" si="4"/>
        <v>0</v>
      </c>
      <c r="M56" s="81">
        <f ca="1">MATCH("*",OFFSET(L$49,M55,0):L$159,0)+M55</f>
        <v>89</v>
      </c>
      <c r="N56" s="1" t="str">
        <f ca="1" t="shared" si="5"/>
        <v>Silent Spell</v>
      </c>
      <c r="O56" s="1" t="b">
        <f t="shared" si="6"/>
        <v>0</v>
      </c>
      <c r="P56" s="81" t="e">
        <f ca="1">MATCH("*",OFFSET(O$49,P55,0):O$159,0)+P55</f>
        <v>#N/A</v>
      </c>
      <c r="Q56" s="1" t="str">
        <f ca="1" t="shared" si="7"/>
        <v>^</v>
      </c>
    </row>
    <row r="57" spans="1:17" ht="12.75">
      <c r="A57" s="132" t="s">
        <v>201</v>
      </c>
      <c r="B57" s="132"/>
      <c r="C57" s="79" t="b">
        <f>COUNTIF(E164:E175,"Conjuration")&gt;0</f>
        <v>0</v>
      </c>
      <c r="D57" s="34" t="b">
        <v>0</v>
      </c>
      <c r="E57" s="34" t="b">
        <v>0</v>
      </c>
      <c r="F57" s="34"/>
      <c r="G57" s="34">
        <f t="shared" si="0"/>
        <v>0</v>
      </c>
      <c r="H57" s="82">
        <f t="shared" si="1"/>
        <v>0</v>
      </c>
      <c r="I57" s="1" t="b">
        <f t="shared" si="2"/>
        <v>0</v>
      </c>
      <c r="J57" s="81">
        <f ca="1">MATCH("*",OFFSET(I$49,J56,0):I$159,0)+J56</f>
        <v>15</v>
      </c>
      <c r="K57" s="1" t="str">
        <f ca="1" t="shared" si="3"/>
        <v>Combat Reflexes</v>
      </c>
      <c r="L57" s="1" t="b">
        <f t="shared" si="4"/>
        <v>0</v>
      </c>
      <c r="M57" s="81">
        <f ca="1">MATCH("*",OFFSET(L$49,M56,0):L$159,0)+M56</f>
        <v>99</v>
      </c>
      <c r="N57" s="1" t="str">
        <f ca="1" t="shared" si="5"/>
        <v>Still Spell</v>
      </c>
      <c r="O57" s="1" t="b">
        <f t="shared" si="6"/>
        <v>0</v>
      </c>
      <c r="P57" s="81" t="e">
        <f ca="1">MATCH("*",OFFSET(O$49,P56,0):O$159,0)+P56</f>
        <v>#N/A</v>
      </c>
      <c r="Q57" s="1" t="str">
        <f ca="1" t="shared" si="7"/>
        <v>^</v>
      </c>
    </row>
    <row r="58" spans="1:17" ht="12.75">
      <c r="A58" s="132" t="s">
        <v>202</v>
      </c>
      <c r="B58" s="132"/>
      <c r="C58" s="79" t="b">
        <v>1</v>
      </c>
      <c r="D58" s="34" t="b">
        <v>0</v>
      </c>
      <c r="E58" s="34" t="b">
        <v>1</v>
      </c>
      <c r="F58" s="34"/>
      <c r="G58" s="34">
        <f t="shared" si="0"/>
        <v>0</v>
      </c>
      <c r="H58" s="82">
        <f t="shared" si="1"/>
        <v>0</v>
      </c>
      <c r="I58" s="1" t="str">
        <f t="shared" si="2"/>
        <v>Blind-Fight</v>
      </c>
      <c r="J58" s="81">
        <f ca="1">MATCH("*",OFFSET(I$49,J57,0):I$159,0)+J57</f>
        <v>22</v>
      </c>
      <c r="K58" s="1" t="str">
        <f ca="1" t="shared" si="3"/>
        <v>Deceitful</v>
      </c>
      <c r="L58" s="1" t="b">
        <f t="shared" si="4"/>
        <v>0</v>
      </c>
      <c r="M58" s="81">
        <f ca="1">MATCH("*",OFFSET(L$49,M57,0):L$159,0)+M57</f>
        <v>111</v>
      </c>
      <c r="N58" s="1" t="str">
        <f ca="1" t="shared" si="5"/>
        <v>Widen Spell</v>
      </c>
      <c r="O58" s="1" t="str">
        <f t="shared" si="6"/>
        <v>Blind-Fight</v>
      </c>
      <c r="P58" s="81" t="e">
        <f ca="1">MATCH("*",OFFSET(O$49,P57,0):O$159,0)+P57</f>
        <v>#N/A</v>
      </c>
      <c r="Q58" s="1" t="str">
        <f ca="1" t="shared" si="7"/>
        <v>^</v>
      </c>
    </row>
    <row r="59" spans="1:17" ht="12.75">
      <c r="A59" s="132" t="s">
        <v>203</v>
      </c>
      <c r="B59" s="132"/>
      <c r="C59" s="79" t="b">
        <f>CasterLevel&gt;=5</f>
        <v>0</v>
      </c>
      <c r="D59" s="34" t="b">
        <v>1</v>
      </c>
      <c r="E59" s="34" t="b">
        <v>0</v>
      </c>
      <c r="F59" s="34"/>
      <c r="G59" s="34">
        <f t="shared" si="0"/>
        <v>0</v>
      </c>
      <c r="H59" s="82">
        <f t="shared" si="1"/>
        <v>0</v>
      </c>
      <c r="I59" s="1" t="b">
        <f t="shared" si="2"/>
        <v>0</v>
      </c>
      <c r="J59" s="81">
        <f ca="1">MATCH("*",OFFSET(I$49,J58,0):I$159,0)+J58</f>
        <v>24</v>
      </c>
      <c r="K59" s="1" t="str">
        <f ca="1" t="shared" si="3"/>
        <v>Deft Hands</v>
      </c>
      <c r="L59" s="1" t="b">
        <f t="shared" si="4"/>
        <v>0</v>
      </c>
      <c r="M59" s="81">
        <f ca="1">MATCH("*",OFFSET(L$49,M58,0):L$159,0)+M58</f>
        <v>112</v>
      </c>
      <c r="N59" s="1" t="str">
        <f ca="1" t="shared" si="5"/>
        <v>^</v>
      </c>
      <c r="O59" s="1" t="b">
        <f t="shared" si="6"/>
        <v>0</v>
      </c>
      <c r="P59" s="81" t="e">
        <f ca="1">MATCH("*",OFFSET(O$49,P58,0):O$159,0)+P58</f>
        <v>#N/A</v>
      </c>
      <c r="Q59" s="1" t="str">
        <f ca="1" t="shared" si="7"/>
        <v>^</v>
      </c>
    </row>
    <row r="60" spans="1:17" ht="12.75">
      <c r="A60" s="132" t="s">
        <v>204</v>
      </c>
      <c r="B60" s="132"/>
      <c r="C60" s="79" t="b">
        <f>AND(Str&gt;=13,H125&gt;0)</f>
        <v>0</v>
      </c>
      <c r="D60" s="34" t="b">
        <v>0</v>
      </c>
      <c r="E60" s="34" t="b">
        <v>1</v>
      </c>
      <c r="F60" s="34"/>
      <c r="G60" s="34">
        <f t="shared" si="0"/>
        <v>0</v>
      </c>
      <c r="H60" s="82">
        <f t="shared" si="1"/>
        <v>0</v>
      </c>
      <c r="I60" s="1" t="b">
        <f t="shared" si="2"/>
        <v>0</v>
      </c>
      <c r="J60" s="81">
        <f ca="1">MATCH("*",OFFSET(I$49,J59,0):I$159,0)+J59</f>
        <v>26</v>
      </c>
      <c r="K60" s="1" t="str">
        <f ca="1" t="shared" si="3"/>
        <v>Diligent</v>
      </c>
      <c r="L60" s="1" t="b">
        <f t="shared" si="4"/>
        <v>0</v>
      </c>
      <c r="M60" s="81">
        <f ca="1">MATCH("*",OFFSET(L$49,M59,0):L$159,0)+M59</f>
        <v>113</v>
      </c>
      <c r="N60" s="1" t="str">
        <f ca="1" t="shared" si="5"/>
        <v>^</v>
      </c>
      <c r="O60" s="1" t="b">
        <f t="shared" si="6"/>
        <v>0</v>
      </c>
      <c r="P60" s="81" t="e">
        <f ca="1">MATCH("*",OFFSET(O$49,P59,0):O$159,0)+P59</f>
        <v>#N/A</v>
      </c>
      <c r="Q60" s="1" t="str">
        <f ca="1" t="shared" si="7"/>
        <v>^</v>
      </c>
    </row>
    <row r="61" spans="1:17" ht="12.75">
      <c r="A61" s="132" t="s">
        <v>205</v>
      </c>
      <c r="B61" s="132"/>
      <c r="C61" s="79" t="b">
        <v>1</v>
      </c>
      <c r="D61" s="34" t="b">
        <v>0</v>
      </c>
      <c r="E61" s="34" t="b">
        <v>0</v>
      </c>
      <c r="F61" s="34"/>
      <c r="G61" s="34">
        <f t="shared" si="0"/>
        <v>0</v>
      </c>
      <c r="H61" s="82">
        <f t="shared" si="1"/>
        <v>0</v>
      </c>
      <c r="I61" s="1" t="str">
        <f t="shared" si="2"/>
        <v>Combat Casting</v>
      </c>
      <c r="J61" s="81">
        <f ca="1">MATCH("*",OFFSET(I$49,J60,0):I$159,0)+J60</f>
        <v>28</v>
      </c>
      <c r="K61" s="1" t="str">
        <f ca="1" t="shared" si="3"/>
        <v>Empower Spell</v>
      </c>
      <c r="L61" s="1" t="b">
        <f t="shared" si="4"/>
        <v>0</v>
      </c>
      <c r="M61" s="81">
        <f ca="1">MATCH("*",OFFSET(L$49,M60,0):L$159,0)+M60</f>
        <v>114</v>
      </c>
      <c r="N61" s="1" t="str">
        <f ca="1" t="shared" si="5"/>
        <v>^</v>
      </c>
      <c r="O61" s="1" t="b">
        <f t="shared" si="6"/>
        <v>0</v>
      </c>
      <c r="P61" s="81" t="e">
        <f ca="1">MATCH("*",OFFSET(O$49,P60,0):O$159,0)+P60</f>
        <v>#N/A</v>
      </c>
      <c r="Q61" s="1" t="str">
        <f ca="1" t="shared" si="7"/>
        <v>^</v>
      </c>
    </row>
    <row r="62" spans="1:17" ht="12.75">
      <c r="A62" s="132" t="s">
        <v>206</v>
      </c>
      <c r="B62" s="132"/>
      <c r="C62" s="79" t="b">
        <f>Int&gt;=13</f>
        <v>0</v>
      </c>
      <c r="D62" s="34" t="b">
        <v>0</v>
      </c>
      <c r="E62" s="34" t="b">
        <v>1</v>
      </c>
      <c r="F62" s="34"/>
      <c r="G62" s="34">
        <f t="shared" si="0"/>
        <v>0</v>
      </c>
      <c r="H62" s="82">
        <f t="shared" si="1"/>
        <v>0</v>
      </c>
      <c r="I62" s="1" t="b">
        <f t="shared" si="2"/>
        <v>0</v>
      </c>
      <c r="J62" s="81">
        <f ca="1">MATCH("*",OFFSET(I$49,J61,0):I$159,0)+J61</f>
        <v>29</v>
      </c>
      <c r="K62" s="1" t="str">
        <f ca="1" t="shared" si="3"/>
        <v>Endurance</v>
      </c>
      <c r="L62" s="1" t="b">
        <f t="shared" si="4"/>
        <v>0</v>
      </c>
      <c r="M62" s="81">
        <f ca="1">MATCH("*",OFFSET(L$49,M61,0):L$159,0)+M61</f>
        <v>115</v>
      </c>
      <c r="N62" s="1" t="str">
        <f ca="1" t="shared" si="5"/>
        <v>^</v>
      </c>
      <c r="O62" s="1" t="b">
        <f t="shared" si="6"/>
        <v>0</v>
      </c>
      <c r="P62" s="81" t="e">
        <f ca="1">MATCH("*",OFFSET(O$49,P61,0):O$159,0)+P61</f>
        <v>#N/A</v>
      </c>
      <c r="Q62" s="1" t="str">
        <f ca="1" t="shared" si="7"/>
        <v>^</v>
      </c>
    </row>
    <row r="63" spans="1:17" ht="12.75">
      <c r="A63" s="132" t="s">
        <v>207</v>
      </c>
      <c r="B63" s="132"/>
      <c r="C63" s="79" t="b">
        <v>1</v>
      </c>
      <c r="D63" s="34" t="b">
        <v>0</v>
      </c>
      <c r="E63" s="34" t="b">
        <v>1</v>
      </c>
      <c r="F63" s="34">
        <f>IF(AND(A63=Begin!H$50,Classes!C$12&gt;=2),1,"")</f>
      </c>
      <c r="G63" s="34">
        <f t="shared" si="0"/>
        <v>0</v>
      </c>
      <c r="H63" s="82">
        <f t="shared" si="1"/>
        <v>0</v>
      </c>
      <c r="I63" s="1" t="str">
        <f t="shared" si="2"/>
        <v>Combat Reflexes</v>
      </c>
      <c r="J63" s="81">
        <f ca="1">MATCH("*",OFFSET(I$49,J62,0):I$159,0)+J62</f>
        <v>30</v>
      </c>
      <c r="K63" s="1" t="str">
        <f ca="1" t="shared" si="3"/>
        <v>Enlarge Spell</v>
      </c>
      <c r="L63" s="1" t="b">
        <f t="shared" si="4"/>
        <v>0</v>
      </c>
      <c r="M63" s="81">
        <f ca="1">MATCH("*",OFFSET(L$49,M62,0):L$159,0)+M62</f>
        <v>116</v>
      </c>
      <c r="N63" s="1" t="str">
        <f ca="1" t="shared" si="5"/>
        <v>^</v>
      </c>
      <c r="O63" s="1" t="str">
        <f t="shared" si="6"/>
        <v>Combat Reflexes</v>
      </c>
      <c r="P63" s="81" t="e">
        <f ca="1">MATCH("*",OFFSET(O$49,P62,0):O$159,0)+P62</f>
        <v>#N/A</v>
      </c>
      <c r="Q63" s="1" t="str">
        <f ca="1" t="shared" si="7"/>
        <v>^</v>
      </c>
    </row>
    <row r="64" spans="1:17" ht="12.75">
      <c r="A64" s="132" t="s">
        <v>208</v>
      </c>
      <c r="B64" s="132"/>
      <c r="C64" s="79" t="b">
        <f>AND(H65&gt;0,H69&gt;0)</f>
        <v>0</v>
      </c>
      <c r="D64" s="34" t="b">
        <v>1</v>
      </c>
      <c r="E64" s="34" t="b">
        <v>0</v>
      </c>
      <c r="F64" s="34"/>
      <c r="G64" s="34">
        <f t="shared" si="0"/>
        <v>0</v>
      </c>
      <c r="H64" s="82">
        <f t="shared" si="1"/>
        <v>0</v>
      </c>
      <c r="I64" s="1" t="b">
        <f t="shared" si="2"/>
        <v>0</v>
      </c>
      <c r="J64" s="81">
        <f ca="1">MATCH("*",OFFSET(I$49,J63,0):I$159,0)+J63</f>
        <v>31</v>
      </c>
      <c r="K64" s="1" t="str">
        <f ca="1" t="shared" si="3"/>
        <v>Eschew Materials</v>
      </c>
      <c r="L64" s="1" t="b">
        <f t="shared" si="4"/>
        <v>0</v>
      </c>
      <c r="M64" s="81">
        <f ca="1">MATCH("*",OFFSET(L$49,M63,0):L$159,0)+M63</f>
        <v>117</v>
      </c>
      <c r="N64" s="1" t="str">
        <f ca="1" t="shared" si="5"/>
        <v>^</v>
      </c>
      <c r="O64" s="1" t="b">
        <f t="shared" si="6"/>
        <v>0</v>
      </c>
      <c r="P64" s="81" t="e">
        <f ca="1">MATCH("*",OFFSET(O$49,P63,0):O$159,0)+P63</f>
        <v>#N/A</v>
      </c>
      <c r="Q64" s="1" t="str">
        <f ca="1" t="shared" si="7"/>
        <v>^</v>
      </c>
    </row>
    <row r="65" spans="1:17" ht="12.75">
      <c r="A65" s="132" t="s">
        <v>209</v>
      </c>
      <c r="B65" s="132"/>
      <c r="C65" s="79" t="b">
        <f>CasterLevel&gt;=5</f>
        <v>0</v>
      </c>
      <c r="D65" s="34" t="b">
        <v>1</v>
      </c>
      <c r="E65" s="34" t="b">
        <v>0</v>
      </c>
      <c r="F65" s="34"/>
      <c r="G65" s="34">
        <f t="shared" si="0"/>
        <v>0</v>
      </c>
      <c r="H65" s="82">
        <f t="shared" si="1"/>
        <v>0</v>
      </c>
      <c r="I65" s="1" t="b">
        <f t="shared" si="2"/>
        <v>0</v>
      </c>
      <c r="J65" s="81">
        <f ca="1">MATCH("*",OFFSET(I$49,J64,0):I$159,0)+J64</f>
        <v>33</v>
      </c>
      <c r="K65" s="1" t="str">
        <f ca="1" t="shared" si="3"/>
        <v>Extend Spell</v>
      </c>
      <c r="L65" s="1" t="b">
        <f t="shared" si="4"/>
        <v>0</v>
      </c>
      <c r="M65" s="81">
        <f ca="1">MATCH("*",OFFSET(L$49,M64,0):L$159,0)+M64</f>
        <v>118</v>
      </c>
      <c r="N65" s="1" t="str">
        <f ca="1" t="shared" si="5"/>
        <v>^</v>
      </c>
      <c r="O65" s="1" t="b">
        <f t="shared" si="6"/>
        <v>0</v>
      </c>
      <c r="P65" s="81" t="e">
        <f ca="1">MATCH("*",OFFSET(O$49,P64,0):O$159,0)+P64</f>
        <v>#N/A</v>
      </c>
      <c r="Q65" s="1" t="str">
        <f ca="1" t="shared" si="7"/>
        <v>^</v>
      </c>
    </row>
    <row r="66" spans="1:17" ht="12.75">
      <c r="A66" s="132" t="s">
        <v>210</v>
      </c>
      <c r="B66" s="132"/>
      <c r="C66" s="79" t="b">
        <f>CasterLevel&gt;=9</f>
        <v>0</v>
      </c>
      <c r="D66" s="34" t="b">
        <v>1</v>
      </c>
      <c r="E66" s="34" t="b">
        <v>0</v>
      </c>
      <c r="F66" s="34"/>
      <c r="G66" s="34">
        <f t="shared" si="0"/>
        <v>0</v>
      </c>
      <c r="H66" s="82">
        <f t="shared" si="1"/>
        <v>0</v>
      </c>
      <c r="I66" s="1" t="b">
        <f t="shared" si="2"/>
        <v>0</v>
      </c>
      <c r="J66" s="81">
        <f ca="1">MATCH("*",OFFSET(I$49,J65,0):I$159,0)+J65</f>
        <v>38</v>
      </c>
      <c r="K66" s="1" t="str">
        <f ca="1" t="shared" si="3"/>
        <v>Great Fortitude</v>
      </c>
      <c r="L66" s="1" t="b">
        <f t="shared" si="4"/>
        <v>0</v>
      </c>
      <c r="M66" s="81">
        <f ca="1">MATCH("*",OFFSET(L$49,M65,0):L$159,0)+M65</f>
        <v>119</v>
      </c>
      <c r="N66" s="1" t="str">
        <f ca="1" t="shared" si="5"/>
        <v>^</v>
      </c>
      <c r="O66" s="1" t="b">
        <f t="shared" si="6"/>
        <v>0</v>
      </c>
      <c r="P66" s="81" t="e">
        <f ca="1">MATCH("*",OFFSET(O$49,P65,0):O$159,0)+P65</f>
        <v>#N/A</v>
      </c>
      <c r="Q66" s="1" t="str">
        <f ca="1" t="shared" si="7"/>
        <v>^</v>
      </c>
    </row>
    <row r="67" spans="1:17" ht="12.75">
      <c r="A67" s="132" t="s">
        <v>211</v>
      </c>
      <c r="B67" s="132"/>
      <c r="C67" s="79" t="b">
        <f>CasterLevel&gt;=12</f>
        <v>0</v>
      </c>
      <c r="D67" s="34" t="b">
        <v>1</v>
      </c>
      <c r="E67" s="34" t="b">
        <v>0</v>
      </c>
      <c r="F67" s="34"/>
      <c r="G67" s="34">
        <f t="shared" si="0"/>
        <v>0</v>
      </c>
      <c r="H67" s="82">
        <f t="shared" si="1"/>
        <v>0</v>
      </c>
      <c r="I67" s="1" t="b">
        <f t="shared" si="2"/>
        <v>0</v>
      </c>
      <c r="J67" s="81">
        <f ca="1">MATCH("*",OFFSET(I$49,J66,0):I$159,0)+J66</f>
        <v>44</v>
      </c>
      <c r="K67" s="1" t="str">
        <f ca="1" t="shared" si="3"/>
        <v>Heighten Spell</v>
      </c>
      <c r="L67" s="1" t="b">
        <f t="shared" si="4"/>
        <v>0</v>
      </c>
      <c r="M67" s="81">
        <f ca="1">MATCH("*",OFFSET(L$49,M66,0):L$159,0)+M66</f>
        <v>120</v>
      </c>
      <c r="N67" s="1" t="str">
        <f ca="1" t="shared" si="5"/>
        <v>^</v>
      </c>
      <c r="O67" s="1" t="b">
        <f t="shared" si="6"/>
        <v>0</v>
      </c>
      <c r="P67" s="81" t="e">
        <f ca="1">MATCH("*",OFFSET(O$49,P66,0):O$159,0)+P66</f>
        <v>#N/A</v>
      </c>
      <c r="Q67" s="1" t="str">
        <f ca="1" t="shared" si="7"/>
        <v>^</v>
      </c>
    </row>
    <row r="68" spans="1:17" ht="12.75">
      <c r="A68" s="132" t="s">
        <v>212</v>
      </c>
      <c r="B68" s="132"/>
      <c r="C68" s="79" t="b">
        <f>CasterLevel&gt;=5</f>
        <v>0</v>
      </c>
      <c r="D68" s="34" t="b">
        <v>1</v>
      </c>
      <c r="E68" s="34" t="b">
        <v>0</v>
      </c>
      <c r="F68" s="34"/>
      <c r="G68" s="34">
        <f t="shared" si="0"/>
        <v>0</v>
      </c>
      <c r="H68" s="82">
        <f t="shared" si="1"/>
        <v>0</v>
      </c>
      <c r="I68" s="1" t="b">
        <f t="shared" si="2"/>
        <v>0</v>
      </c>
      <c r="J68" s="81">
        <f ca="1">MATCH("*",OFFSET(I$49,J67,0):I$159,0)+J67</f>
        <v>46</v>
      </c>
      <c r="K68" s="1" t="str">
        <f ca="1" t="shared" si="3"/>
        <v>Improved Counterspell</v>
      </c>
      <c r="L68" s="1" t="b">
        <f t="shared" si="4"/>
        <v>0</v>
      </c>
      <c r="M68" s="81">
        <f ca="1">MATCH("*",OFFSET(L$49,M67,0):L$159,0)+M67</f>
        <v>121</v>
      </c>
      <c r="N68" s="1" t="str">
        <f ca="1" t="shared" si="5"/>
        <v>^</v>
      </c>
      <c r="O68" s="1" t="b">
        <f t="shared" si="6"/>
        <v>0</v>
      </c>
      <c r="P68" s="81" t="e">
        <f ca="1">MATCH("*",OFFSET(O$49,P67,0):O$159,0)+P67</f>
        <v>#N/A</v>
      </c>
      <c r="Q68" s="1" t="str">
        <f ca="1" t="shared" si="7"/>
        <v>^</v>
      </c>
    </row>
    <row r="69" spans="1:17" ht="12.75">
      <c r="A69" s="132" t="s">
        <v>213</v>
      </c>
      <c r="B69" s="132"/>
      <c r="C69" s="79" t="b">
        <f>CasterLevel&gt;=3</f>
        <v>0</v>
      </c>
      <c r="D69" s="34" t="b">
        <v>1</v>
      </c>
      <c r="E69" s="34" t="b">
        <v>0</v>
      </c>
      <c r="F69" s="34"/>
      <c r="G69" s="34">
        <f t="shared" si="0"/>
        <v>0</v>
      </c>
      <c r="H69" s="82">
        <f t="shared" si="1"/>
        <v>0</v>
      </c>
      <c r="I69" s="1" t="b">
        <f t="shared" si="2"/>
        <v>0</v>
      </c>
      <c r="J69" s="81">
        <f ca="1">MATCH("*",OFFSET(I$49,J68,0):I$159,0)+J68</f>
        <v>51</v>
      </c>
      <c r="K69" s="1" t="str">
        <f ca="1" t="shared" si="3"/>
        <v>Improved Initiative</v>
      </c>
      <c r="L69" s="1" t="b">
        <f t="shared" si="4"/>
        <v>0</v>
      </c>
      <c r="M69" s="81">
        <f ca="1">MATCH("*",OFFSET(L$49,M68,0):L$159,0)+M68</f>
        <v>122</v>
      </c>
      <c r="N69" s="1" t="str">
        <f ca="1" t="shared" si="5"/>
        <v>^</v>
      </c>
      <c r="O69" s="1" t="b">
        <f t="shared" si="6"/>
        <v>0</v>
      </c>
      <c r="P69" s="81" t="e">
        <f ca="1">MATCH("*",OFFSET(O$49,P68,0):O$159,0)+P68</f>
        <v>#N/A</v>
      </c>
      <c r="Q69" s="1" t="str">
        <f ca="1" t="shared" si="7"/>
        <v>^</v>
      </c>
    </row>
    <row r="70" spans="1:17" ht="12.75">
      <c r="A70" s="132" t="s">
        <v>214</v>
      </c>
      <c r="B70" s="132"/>
      <c r="C70" s="79" t="b">
        <v>1</v>
      </c>
      <c r="D70" s="34" t="b">
        <v>0</v>
      </c>
      <c r="E70" s="34" t="b">
        <v>0</v>
      </c>
      <c r="F70" s="34"/>
      <c r="G70" s="34">
        <f t="shared" si="0"/>
        <v>0</v>
      </c>
      <c r="H70" s="82">
        <f t="shared" si="1"/>
        <v>0</v>
      </c>
      <c r="I70" s="1" t="str">
        <f t="shared" si="2"/>
        <v>Deceitful</v>
      </c>
      <c r="J70" s="81">
        <f ca="1">MATCH("*",OFFSET(I$49,J69,0):I$159,0)+J69</f>
        <v>59</v>
      </c>
      <c r="K70" s="1" t="str">
        <f ca="1" t="shared" si="3"/>
        <v>Improved Unarmed Strike</v>
      </c>
      <c r="L70" s="1" t="b">
        <f t="shared" si="4"/>
        <v>0</v>
      </c>
      <c r="M70" s="81">
        <f ca="1">MATCH("*",OFFSET(L$49,M69,0):L$159,0)+M69</f>
        <v>123</v>
      </c>
      <c r="N70" s="1" t="str">
        <f ca="1" t="shared" si="5"/>
        <v>^</v>
      </c>
      <c r="O70" s="1" t="b">
        <f t="shared" si="6"/>
        <v>0</v>
      </c>
      <c r="P70" s="81" t="e">
        <f ca="1">MATCH("*",OFFSET(O$49,P69,0):O$159,0)+P69</f>
        <v>#N/A</v>
      </c>
      <c r="Q70" s="1" t="str">
        <f ca="1" t="shared" si="7"/>
        <v>^</v>
      </c>
    </row>
    <row r="71" spans="1:17" ht="12.75">
      <c r="A71" s="132" t="s">
        <v>215</v>
      </c>
      <c r="B71" s="132"/>
      <c r="C71" s="79" t="b">
        <f>AND(Dex&gt;=13,H107&gt;0)</f>
        <v>0</v>
      </c>
      <c r="D71" s="34" t="b">
        <v>0</v>
      </c>
      <c r="E71" s="34" t="b">
        <v>1</v>
      </c>
      <c r="F71" s="34">
        <f>IF(AND(A71=Begin!H$50,Classes!C$12&gt;=2),1,"")</f>
      </c>
      <c r="G71" s="34">
        <f t="shared" si="0"/>
        <v>0</v>
      </c>
      <c r="H71" s="82">
        <f t="shared" si="1"/>
        <v>0</v>
      </c>
      <c r="I71" s="1" t="b">
        <f t="shared" si="2"/>
        <v>0</v>
      </c>
      <c r="J71" s="81">
        <f ca="1">MATCH("*",OFFSET(I$49,J70,0):I$159,0)+J70</f>
        <v>60</v>
      </c>
      <c r="K71" s="1" t="str">
        <f ca="1" t="shared" si="3"/>
        <v>Investigator</v>
      </c>
      <c r="L71" s="1" t="b">
        <f t="shared" si="4"/>
        <v>0</v>
      </c>
      <c r="M71" s="81">
        <f ca="1">MATCH("*",OFFSET(L$49,M70,0):L$159,0)+M70</f>
        <v>124</v>
      </c>
      <c r="N71" s="1" t="str">
        <f ca="1" t="shared" si="5"/>
        <v>^</v>
      </c>
      <c r="O71" s="1" t="b">
        <f t="shared" si="6"/>
        <v>0</v>
      </c>
      <c r="P71" s="81" t="e">
        <f ca="1">MATCH("*",OFFSET(O$49,P70,0):O$159,0)+P70</f>
        <v>#N/A</v>
      </c>
      <c r="Q71" s="1" t="str">
        <f ca="1" t="shared" si="7"/>
        <v>^</v>
      </c>
    </row>
    <row r="72" spans="1:17" ht="12.75">
      <c r="A72" s="132" t="s">
        <v>216</v>
      </c>
      <c r="B72" s="132"/>
      <c r="C72" s="79" t="b">
        <v>1</v>
      </c>
      <c r="D72" s="34" t="b">
        <v>0</v>
      </c>
      <c r="E72" s="34" t="b">
        <v>0</v>
      </c>
      <c r="F72" s="34"/>
      <c r="G72" s="34">
        <f t="shared" si="0"/>
        <v>0</v>
      </c>
      <c r="H72" s="82">
        <f t="shared" si="1"/>
        <v>0</v>
      </c>
      <c r="I72" s="1" t="str">
        <f t="shared" si="2"/>
        <v>Deft Hands</v>
      </c>
      <c r="J72" s="81">
        <f ca="1">MATCH("*",OFFSET(I$49,J71,0):I$159,0)+J71</f>
        <v>61</v>
      </c>
      <c r="K72" s="1" t="str">
        <f ca="1" t="shared" si="3"/>
        <v>Iron Will</v>
      </c>
      <c r="L72" s="1" t="b">
        <f t="shared" si="4"/>
        <v>0</v>
      </c>
      <c r="M72" s="81">
        <f ca="1">MATCH("*",OFFSET(L$49,M71,0):L$159,0)+M71</f>
        <v>125</v>
      </c>
      <c r="N72" s="1" t="str">
        <f ca="1" t="shared" si="5"/>
        <v>^</v>
      </c>
      <c r="O72" s="1" t="b">
        <f t="shared" si="6"/>
        <v>0</v>
      </c>
      <c r="P72" s="81" t="e">
        <f ca="1">MATCH("*",OFFSET(O$49,P71,0):O$159,0)+P71</f>
        <v>#N/A</v>
      </c>
      <c r="Q72" s="1" t="str">
        <f ca="1" t="shared" si="7"/>
        <v>^</v>
      </c>
    </row>
    <row r="73" spans="1:17" ht="12.75">
      <c r="A73" s="132" t="s">
        <v>217</v>
      </c>
      <c r="B73" s="132"/>
      <c r="C73" s="79" t="b">
        <f>H77&gt;0</f>
        <v>0</v>
      </c>
      <c r="D73" s="34" t="b">
        <v>0</v>
      </c>
      <c r="E73" s="34" t="b">
        <v>0</v>
      </c>
      <c r="F73" s="34"/>
      <c r="G73" s="34">
        <f t="shared" si="0"/>
        <v>0</v>
      </c>
      <c r="H73" s="82">
        <f t="shared" si="1"/>
        <v>0</v>
      </c>
      <c r="I73" s="1" t="b">
        <f t="shared" si="2"/>
        <v>0</v>
      </c>
      <c r="J73" s="81">
        <f ca="1">MATCH("*",OFFSET(I$49,J72,0):I$159,0)+J72</f>
        <v>63</v>
      </c>
      <c r="K73" s="1" t="str">
        <f ca="1" t="shared" si="3"/>
        <v>Lightning Reflexes</v>
      </c>
      <c r="L73" s="1" t="b">
        <f t="shared" si="4"/>
        <v>0</v>
      </c>
      <c r="M73" s="81">
        <f ca="1">MATCH("*",OFFSET(L$49,M72,0):L$159,0)+M72</f>
        <v>126</v>
      </c>
      <c r="N73" s="1" t="str">
        <f ca="1" t="shared" si="5"/>
        <v>^</v>
      </c>
      <c r="O73" s="1" t="b">
        <f t="shared" si="6"/>
        <v>0</v>
      </c>
      <c r="P73" s="81" t="e">
        <f ca="1">MATCH("*",OFFSET(O$49,P72,0):O$159,0)+P72</f>
        <v>#N/A</v>
      </c>
      <c r="Q73" s="1" t="str">
        <f ca="1" t="shared" si="7"/>
        <v>^</v>
      </c>
    </row>
    <row r="74" spans="1:17" ht="12.75">
      <c r="A74" s="132" t="s">
        <v>218</v>
      </c>
      <c r="B74" s="132"/>
      <c r="C74" s="79" t="b">
        <v>1</v>
      </c>
      <c r="D74" s="34" t="b">
        <v>0</v>
      </c>
      <c r="E74" s="34" t="b">
        <v>0</v>
      </c>
      <c r="F74" s="34"/>
      <c r="G74" s="34">
        <f t="shared" si="0"/>
        <v>0</v>
      </c>
      <c r="H74" s="82">
        <f t="shared" si="1"/>
        <v>0</v>
      </c>
      <c r="I74" s="1" t="str">
        <f t="shared" si="2"/>
        <v>Diligent</v>
      </c>
      <c r="J74" s="81">
        <f ca="1">MATCH("*",OFFSET(I$49,J73,0):I$159,0)+J73</f>
        <v>64</v>
      </c>
      <c r="K74" s="1" t="str">
        <f ca="1" t="shared" si="3"/>
        <v>Magical Aptitude</v>
      </c>
      <c r="L74" s="1" t="b">
        <f t="shared" si="4"/>
        <v>0</v>
      </c>
      <c r="M74" s="81">
        <f ca="1">MATCH("*",OFFSET(L$49,M73,0):L$159,0)+M73</f>
        <v>127</v>
      </c>
      <c r="N74" s="1" t="str">
        <f ca="1" t="shared" si="5"/>
        <v>^</v>
      </c>
      <c r="O74" s="1" t="b">
        <f t="shared" si="6"/>
        <v>0</v>
      </c>
      <c r="P74" s="81" t="e">
        <f ca="1">MATCH("*",OFFSET(O$49,P73,0):O$159,0)+P73</f>
        <v>#N/A</v>
      </c>
      <c r="Q74" s="1" t="str">
        <f ca="1" t="shared" si="7"/>
        <v>^</v>
      </c>
    </row>
    <row r="75" spans="1:17" ht="12.75">
      <c r="A75" s="132" t="s">
        <v>219</v>
      </c>
      <c r="B75" s="132"/>
      <c r="C75" s="79" t="b">
        <f>Dex&gt;=13</f>
        <v>0</v>
      </c>
      <c r="D75" s="34" t="b">
        <v>0</v>
      </c>
      <c r="E75" s="34" t="b">
        <v>1</v>
      </c>
      <c r="F75" s="34"/>
      <c r="G75" s="34">
        <f t="shared" si="0"/>
        <v>0</v>
      </c>
      <c r="H75" s="82">
        <f t="shared" si="1"/>
        <v>0</v>
      </c>
      <c r="I75" s="1" t="b">
        <f t="shared" si="2"/>
        <v>0</v>
      </c>
      <c r="J75" s="81">
        <f ca="1">MATCH("*",OFFSET(I$49,J74,0):I$159,0)+J74</f>
        <v>66</v>
      </c>
      <c r="K75" s="1" t="str">
        <f ca="1" t="shared" si="3"/>
        <v>Martial Weapon Proficiency</v>
      </c>
      <c r="L75" s="1" t="b">
        <f t="shared" si="4"/>
        <v>0</v>
      </c>
      <c r="M75" s="81">
        <f ca="1">MATCH("*",OFFSET(L$49,M74,0):L$159,0)+M74</f>
        <v>128</v>
      </c>
      <c r="N75" s="1" t="str">
        <f ca="1" t="shared" si="5"/>
        <v>^</v>
      </c>
      <c r="O75" s="1" t="b">
        <f t="shared" si="6"/>
        <v>0</v>
      </c>
      <c r="P75" s="81" t="e">
        <f ca="1">MATCH("*",OFFSET(O$49,P74,0):O$159,0)+P74</f>
        <v>#N/A</v>
      </c>
      <c r="Q75" s="1" t="str">
        <f ca="1" t="shared" si="7"/>
        <v>^</v>
      </c>
    </row>
    <row r="76" spans="1:17" ht="12.75">
      <c r="A76" s="132" t="s">
        <v>220</v>
      </c>
      <c r="B76" s="132"/>
      <c r="C76" s="79" t="b">
        <v>1</v>
      </c>
      <c r="D76" s="34" t="b">
        <v>1</v>
      </c>
      <c r="E76" s="34" t="b">
        <v>0</v>
      </c>
      <c r="F76" s="34"/>
      <c r="G76" s="34">
        <f t="shared" si="0"/>
        <v>0</v>
      </c>
      <c r="H76" s="82">
        <f t="shared" si="1"/>
        <v>0</v>
      </c>
      <c r="I76" s="1" t="str">
        <f t="shared" si="2"/>
        <v>Empower Spell</v>
      </c>
      <c r="J76" s="81">
        <f ca="1">MATCH("*",OFFSET(I$49,J75,0):I$159,0)+J75</f>
        <v>67</v>
      </c>
      <c r="K76" s="1" t="str">
        <f ca="1" t="shared" si="3"/>
        <v>Maximize Spell</v>
      </c>
      <c r="L76" s="1" t="str">
        <f t="shared" si="4"/>
        <v>Empower Spell</v>
      </c>
      <c r="M76" s="81">
        <f ca="1">MATCH("*",OFFSET(L$49,M75,0):L$159,0)+M75</f>
        <v>129</v>
      </c>
      <c r="N76" s="1" t="str">
        <f ca="1" t="shared" si="5"/>
        <v>^</v>
      </c>
      <c r="O76" s="1" t="b">
        <f t="shared" si="6"/>
        <v>0</v>
      </c>
      <c r="P76" s="81" t="e">
        <f ca="1">MATCH("*",OFFSET(O$49,P75,0):O$159,0)+P75</f>
        <v>#N/A</v>
      </c>
      <c r="Q76" s="1" t="str">
        <f ca="1" t="shared" si="7"/>
        <v>^</v>
      </c>
    </row>
    <row r="77" spans="1:17" ht="12.75">
      <c r="A77" s="132" t="s">
        <v>221</v>
      </c>
      <c r="B77" s="132"/>
      <c r="C77" s="79" t="b">
        <v>1</v>
      </c>
      <c r="D77" s="34" t="b">
        <v>0</v>
      </c>
      <c r="E77" s="34" t="b">
        <v>0</v>
      </c>
      <c r="F77" s="34">
        <f>IF(Classes!C14&gt;2,1,"")</f>
      </c>
      <c r="G77" s="34">
        <f t="shared" si="0"/>
        <v>0</v>
      </c>
      <c r="H77" s="82">
        <f t="shared" si="1"/>
        <v>0</v>
      </c>
      <c r="I77" s="1" t="str">
        <f t="shared" si="2"/>
        <v>Endurance</v>
      </c>
      <c r="J77" s="81">
        <f ca="1">MATCH("*",OFFSET(I$49,J76,0):I$159,0)+J76</f>
        <v>72</v>
      </c>
      <c r="K77" s="1" t="str">
        <f ca="1" t="shared" si="3"/>
        <v>Negotiator</v>
      </c>
      <c r="L77" s="1" t="b">
        <f t="shared" si="4"/>
        <v>0</v>
      </c>
      <c r="M77" s="81">
        <f ca="1">MATCH("*",OFFSET(L$49,M76,0):L$159,0)+M76</f>
        <v>130</v>
      </c>
      <c r="N77" s="1" t="str">
        <f ca="1" t="shared" si="5"/>
        <v>^</v>
      </c>
      <c r="O77" s="1" t="b">
        <f t="shared" si="6"/>
        <v>0</v>
      </c>
      <c r="P77" s="81" t="e">
        <f ca="1">MATCH("*",OFFSET(O$49,P76,0):O$159,0)+P76</f>
        <v>#N/A</v>
      </c>
      <c r="Q77" s="1" t="str">
        <f ca="1" t="shared" si="7"/>
        <v>^</v>
      </c>
    </row>
    <row r="78" spans="1:17" ht="12.75">
      <c r="A78" s="132" t="s">
        <v>222</v>
      </c>
      <c r="B78" s="132"/>
      <c r="C78" s="79" t="b">
        <v>1</v>
      </c>
      <c r="D78" s="34" t="b">
        <v>1</v>
      </c>
      <c r="E78" s="34" t="b">
        <v>0</v>
      </c>
      <c r="F78" s="34"/>
      <c r="G78" s="34">
        <f t="shared" si="0"/>
        <v>0</v>
      </c>
      <c r="H78" s="82">
        <f t="shared" si="1"/>
        <v>0</v>
      </c>
      <c r="I78" s="1" t="str">
        <f t="shared" si="2"/>
        <v>Enlarge Spell</v>
      </c>
      <c r="J78" s="81">
        <f ca="1">MATCH("*",OFFSET(I$49,J77,0):I$159,0)+J77</f>
        <v>73</v>
      </c>
      <c r="K78" s="1" t="str">
        <f ca="1" t="shared" si="3"/>
        <v>Nimble Fingers</v>
      </c>
      <c r="L78" s="1" t="str">
        <f t="shared" si="4"/>
        <v>Enlarge Spell</v>
      </c>
      <c r="M78" s="81">
        <f ca="1">MATCH("*",OFFSET(L$49,M77,0):L$159,0)+M77</f>
        <v>131</v>
      </c>
      <c r="N78" s="1" t="str">
        <f ca="1" t="shared" si="5"/>
        <v>^</v>
      </c>
      <c r="O78" s="1" t="b">
        <f t="shared" si="6"/>
        <v>0</v>
      </c>
      <c r="P78" s="81" t="e">
        <f ca="1">MATCH("*",OFFSET(O$49,P77,0):O$159,0)+P77</f>
        <v>#N/A</v>
      </c>
      <c r="Q78" s="1" t="str">
        <f ca="1" t="shared" si="7"/>
        <v>^</v>
      </c>
    </row>
    <row r="79" spans="1:17" ht="12.75">
      <c r="A79" s="132" t="s">
        <v>223</v>
      </c>
      <c r="B79" s="132"/>
      <c r="C79" s="79" t="b">
        <v>1</v>
      </c>
      <c r="D79" s="34" t="b">
        <v>0</v>
      </c>
      <c r="E79" s="34" t="b">
        <v>0</v>
      </c>
      <c r="F79" s="34"/>
      <c r="G79" s="34">
        <f t="shared" si="0"/>
        <v>0</v>
      </c>
      <c r="H79" s="82">
        <f t="shared" si="1"/>
        <v>0</v>
      </c>
      <c r="I79" s="1" t="str">
        <f t="shared" si="2"/>
        <v>Eschew Materials</v>
      </c>
      <c r="J79" s="81">
        <f ca="1">MATCH("*",OFFSET(I$49,J78,0):I$159,0)+J78</f>
        <v>74</v>
      </c>
      <c r="K79" s="1" t="str">
        <f ca="1" t="shared" si="3"/>
        <v>Other</v>
      </c>
      <c r="L79" s="1" t="b">
        <f t="shared" si="4"/>
        <v>0</v>
      </c>
      <c r="M79" s="81">
        <f ca="1">MATCH("*",OFFSET(L$49,M78,0):L$159,0)+M78</f>
        <v>132</v>
      </c>
      <c r="N79" s="1" t="str">
        <f ca="1" t="shared" si="5"/>
        <v>^</v>
      </c>
      <c r="O79" s="1" t="b">
        <f t="shared" si="6"/>
        <v>0</v>
      </c>
      <c r="P79" s="81" t="e">
        <f ca="1">MATCH("*",OFFSET(O$49,P78,0):O$159,0)+P78</f>
        <v>#N/A</v>
      </c>
      <c r="Q79" s="1" t="str">
        <f ca="1" t="shared" si="7"/>
        <v>^</v>
      </c>
    </row>
    <row r="80" spans="1:17" ht="12.75">
      <c r="A80" s="132" t="s">
        <v>224</v>
      </c>
      <c r="B80" s="132"/>
      <c r="C80" s="79" t="b">
        <f>BAB&gt;0</f>
        <v>0</v>
      </c>
      <c r="D80" s="34" t="b">
        <v>0</v>
      </c>
      <c r="E80" s="34" t="b">
        <v>1</v>
      </c>
      <c r="F80" s="34"/>
      <c r="G80" s="34">
        <f t="shared" si="0"/>
        <v>0</v>
      </c>
      <c r="H80" s="82">
        <f t="shared" si="1"/>
        <v>0</v>
      </c>
      <c r="I80" s="1" t="b">
        <f>IF(C80,A80)</f>
        <v>0</v>
      </c>
      <c r="J80" s="81">
        <f ca="1">MATCH("*",OFFSET(I$49,J79,0):I$159,0)+J79</f>
        <v>75</v>
      </c>
      <c r="K80" s="1" t="str">
        <f ca="1" t="shared" si="3"/>
        <v>Persuasive</v>
      </c>
      <c r="L80" s="1" t="b">
        <f>IF(AND(C80,D80),A80)</f>
        <v>0</v>
      </c>
      <c r="M80" s="81">
        <f ca="1">MATCH("*",OFFSET(L$49,M79,0):L$159,0)+M79</f>
        <v>133</v>
      </c>
      <c r="N80" s="1" t="str">
        <f ca="1" t="shared" si="5"/>
        <v>^</v>
      </c>
      <c r="O80" s="1" t="b">
        <f>IF(AND(C80,E80),A80)</f>
        <v>0</v>
      </c>
      <c r="P80" s="81" t="e">
        <f ca="1">MATCH("*",OFFSET(O$49,P79,0):O$159,0)+P79</f>
        <v>#N/A</v>
      </c>
      <c r="Q80" s="1" t="str">
        <f ca="1" t="shared" si="7"/>
        <v>^</v>
      </c>
    </row>
    <row r="81" spans="1:17" ht="12.75">
      <c r="A81" s="132" t="s">
        <v>225</v>
      </c>
      <c r="B81" s="132"/>
      <c r="C81" s="79" t="b">
        <v>1</v>
      </c>
      <c r="D81" s="34" t="b">
        <v>1</v>
      </c>
      <c r="E81" s="34" t="b">
        <v>0</v>
      </c>
      <c r="F81" s="34"/>
      <c r="G81" s="34">
        <f aca="true" t="shared" si="8" ref="G81:G112">COUNTIF(L$164:L$190,A81)</f>
        <v>0</v>
      </c>
      <c r="H81" s="82">
        <f aca="true" t="shared" si="9" ref="H81:H112">SUM(F81,IF(C81,G81,0))</f>
        <v>0</v>
      </c>
      <c r="I81" s="1" t="str">
        <f t="shared" si="2"/>
        <v>Extend Spell</v>
      </c>
      <c r="J81" s="81">
        <f ca="1">MATCH("*",OFFSET(I$49,J80,0):I$159,0)+J80</f>
        <v>76</v>
      </c>
      <c r="K81" s="1" t="str">
        <f ca="1" t="shared" si="3"/>
        <v>Point Blank Shot</v>
      </c>
      <c r="L81" s="1" t="str">
        <f t="shared" si="4"/>
        <v>Extend Spell</v>
      </c>
      <c r="M81" s="81">
        <f ca="1">MATCH("*",OFFSET(L$49,M80,0):L$159,0)+M80</f>
        <v>134</v>
      </c>
      <c r="N81" s="1" t="str">
        <f ca="1" t="shared" si="5"/>
        <v>^</v>
      </c>
      <c r="O81" s="1" t="b">
        <f t="shared" si="6"/>
        <v>0</v>
      </c>
      <c r="P81" s="81" t="e">
        <f ca="1">MATCH("*",OFFSET(O$49,P80,0):O$159,0)+P80</f>
        <v>#N/A</v>
      </c>
      <c r="Q81" s="1" t="str">
        <f ca="1" t="shared" si="7"/>
        <v>^</v>
      </c>
    </row>
    <row r="82" spans="1:17" ht="12.75">
      <c r="A82" s="132" t="s">
        <v>226</v>
      </c>
      <c r="B82" s="132"/>
      <c r="C82" s="79" t="b">
        <f>SUM(Classes!C7,Classes!C13)&gt;0</f>
        <v>0</v>
      </c>
      <c r="D82" s="34" t="b">
        <v>0</v>
      </c>
      <c r="E82" s="34" t="b">
        <v>0</v>
      </c>
      <c r="F82" s="34"/>
      <c r="G82" s="34">
        <f t="shared" si="8"/>
        <v>0</v>
      </c>
      <c r="H82" s="82">
        <f t="shared" si="9"/>
        <v>0</v>
      </c>
      <c r="I82" s="1" t="b">
        <f>IF(C82,A82)</f>
        <v>0</v>
      </c>
      <c r="J82" s="81">
        <f ca="1">MATCH("*",OFFSET(I$49,J81,0):I$159,0)+J81</f>
        <v>80</v>
      </c>
      <c r="K82" s="1" t="str">
        <f ca="1" t="shared" si="3"/>
        <v>Quicken Spell</v>
      </c>
      <c r="L82" s="1" t="b">
        <f>IF(AND(C82,D82),A82)</f>
        <v>0</v>
      </c>
      <c r="M82" s="81">
        <f ca="1">MATCH("*",OFFSET(L$49,M81,0):L$159,0)+M81</f>
        <v>135</v>
      </c>
      <c r="N82" s="1" t="str">
        <f ca="1" t="shared" si="5"/>
        <v>^</v>
      </c>
      <c r="O82" s="1" t="b">
        <f>IF(AND(C82,E82),A82)</f>
        <v>0</v>
      </c>
      <c r="P82" s="81" t="e">
        <f ca="1">MATCH("*",OFFSET(O$49,P81,0):O$159,0)+P81</f>
        <v>#N/A</v>
      </c>
      <c r="Q82" s="1" t="str">
        <f ca="1" t="shared" si="7"/>
        <v>^</v>
      </c>
    </row>
    <row r="83" spans="1:17" ht="12.75">
      <c r="A83" s="132" t="s">
        <v>227</v>
      </c>
      <c r="B83" s="132"/>
      <c r="C83" s="79" t="b">
        <f>H124&gt;0</f>
        <v>0</v>
      </c>
      <c r="D83" s="34" t="b">
        <v>0</v>
      </c>
      <c r="E83" s="34" t="b">
        <v>1</v>
      </c>
      <c r="F83" s="34"/>
      <c r="G83" s="34">
        <f t="shared" si="8"/>
        <v>0</v>
      </c>
      <c r="H83" s="82">
        <f t="shared" si="9"/>
        <v>0</v>
      </c>
      <c r="I83" s="1" t="b">
        <f t="shared" si="2"/>
        <v>0</v>
      </c>
      <c r="J83" s="81">
        <f ca="1">MATCH("*",OFFSET(I$49,J82,0):I$159,0)+J82</f>
        <v>84</v>
      </c>
      <c r="K83" s="1" t="str">
        <f ca="1" t="shared" si="3"/>
        <v>Run</v>
      </c>
      <c r="L83" s="1" t="b">
        <f t="shared" si="4"/>
        <v>0</v>
      </c>
      <c r="M83" s="81">
        <f ca="1">MATCH("*",OFFSET(L$49,M82,0):L$159,0)+M82</f>
        <v>136</v>
      </c>
      <c r="N83" s="1" t="str">
        <f ca="1" t="shared" si="5"/>
        <v>^</v>
      </c>
      <c r="O83" s="1" t="b">
        <f t="shared" si="6"/>
        <v>0</v>
      </c>
      <c r="P83" s="81" t="e">
        <f ca="1">MATCH("*",OFFSET(O$49,P82,0):O$159,0)+P82</f>
        <v>#N/A</v>
      </c>
      <c r="Q83" s="1" t="str">
        <f ca="1" t="shared" si="7"/>
        <v>^</v>
      </c>
    </row>
    <row r="84" spans="1:17" ht="12.75">
      <c r="A84" s="132" t="s">
        <v>228</v>
      </c>
      <c r="B84" s="132"/>
      <c r="C84" s="79" t="b">
        <f>CasterLevel&gt;=12</f>
        <v>0</v>
      </c>
      <c r="D84" s="34" t="b">
        <v>1</v>
      </c>
      <c r="E84" s="34" t="b">
        <v>0</v>
      </c>
      <c r="F84" s="34"/>
      <c r="G84" s="34">
        <f t="shared" si="8"/>
        <v>0</v>
      </c>
      <c r="H84" s="82">
        <f t="shared" si="9"/>
        <v>0</v>
      </c>
      <c r="I84" s="1" t="b">
        <f t="shared" si="2"/>
        <v>0</v>
      </c>
      <c r="J84" s="81">
        <f ca="1">MATCH("*",OFFSET(I$49,J83,0):I$159,0)+J83</f>
        <v>86</v>
      </c>
      <c r="K84" s="1" t="str">
        <f ca="1" t="shared" si="3"/>
        <v>Self-Sufficient</v>
      </c>
      <c r="L84" s="1" t="b">
        <f t="shared" si="4"/>
        <v>0</v>
      </c>
      <c r="M84" s="81">
        <f ca="1">MATCH("*",OFFSET(L$49,M83,0):L$159,0)+M83</f>
        <v>137</v>
      </c>
      <c r="N84" s="1" t="str">
        <f ca="1" t="shared" si="5"/>
        <v>^</v>
      </c>
      <c r="O84" s="1" t="b">
        <f t="shared" si="6"/>
        <v>0</v>
      </c>
      <c r="P84" s="81" t="e">
        <f ca="1">MATCH("*",OFFSET(O$49,P83,0):O$159,0)+P83</f>
        <v>#N/A</v>
      </c>
      <c r="Q84" s="1" t="str">
        <f ca="1" t="shared" si="7"/>
        <v>^</v>
      </c>
    </row>
    <row r="85" spans="1:17" ht="12.75">
      <c r="A85" s="132" t="s">
        <v>229</v>
      </c>
      <c r="B85" s="132"/>
      <c r="C85" s="79" t="b">
        <f>AND(Str&gt;=13,H60&gt;0,H125&gt;0,BAB&gt;=4)</f>
        <v>0</v>
      </c>
      <c r="D85" s="34" t="b">
        <v>0</v>
      </c>
      <c r="E85" s="34" t="b">
        <v>1</v>
      </c>
      <c r="F85" s="34"/>
      <c r="G85" s="34">
        <f t="shared" si="8"/>
        <v>0</v>
      </c>
      <c r="H85" s="82">
        <f t="shared" si="9"/>
        <v>0</v>
      </c>
      <c r="I85" s="1" t="b">
        <f t="shared" si="2"/>
        <v>0</v>
      </c>
      <c r="J85" s="81">
        <f ca="1">MATCH("*",OFFSET(I$49,J84,0):I$159,0)+J84</f>
        <v>87</v>
      </c>
      <c r="K85" s="1" t="str">
        <f ca="1" t="shared" si="3"/>
        <v>Shield Proficiency</v>
      </c>
      <c r="L85" s="1" t="b">
        <f t="shared" si="4"/>
        <v>0</v>
      </c>
      <c r="M85" s="81">
        <f ca="1">MATCH("*",OFFSET(L$49,M84,0):L$159,0)+M84</f>
        <v>138</v>
      </c>
      <c r="N85" s="1" t="str">
        <f ca="1" t="shared" si="5"/>
        <v>^</v>
      </c>
      <c r="O85" s="1" t="b">
        <f t="shared" si="6"/>
        <v>0</v>
      </c>
      <c r="P85" s="81" t="e">
        <f ca="1">MATCH("*",OFFSET(O$49,P84,0):O$159,0)+P84</f>
        <v>#N/A</v>
      </c>
      <c r="Q85" s="1" t="str">
        <f ca="1" t="shared" si="7"/>
        <v>^</v>
      </c>
    </row>
    <row r="86" spans="1:17" ht="12.75">
      <c r="A86" s="132" t="s">
        <v>230</v>
      </c>
      <c r="B86" s="132"/>
      <c r="C86" s="79" t="b">
        <v>1</v>
      </c>
      <c r="D86" s="34" t="b">
        <v>0</v>
      </c>
      <c r="E86" s="34" t="b">
        <v>0</v>
      </c>
      <c r="F86" s="34"/>
      <c r="G86" s="34">
        <f t="shared" si="8"/>
        <v>0</v>
      </c>
      <c r="H86" s="82">
        <f t="shared" si="9"/>
        <v>0</v>
      </c>
      <c r="I86" s="1" t="str">
        <f t="shared" si="2"/>
        <v>Great Fortitude</v>
      </c>
      <c r="J86" s="81">
        <f ca="1">MATCH("*",OFFSET(I$49,J85,0):I$159,0)+J85</f>
        <v>89</v>
      </c>
      <c r="K86" s="1" t="str">
        <f ca="1" t="shared" si="3"/>
        <v>Silent Spell</v>
      </c>
      <c r="L86" s="1" t="b">
        <f t="shared" si="4"/>
        <v>0</v>
      </c>
      <c r="M86" s="81">
        <f ca="1">MATCH("*",OFFSET(L$49,M85,0):L$159,0)+M85</f>
        <v>139</v>
      </c>
      <c r="N86" s="1" t="str">
        <f ca="1" t="shared" si="5"/>
        <v>^</v>
      </c>
      <c r="O86" s="1" t="b">
        <f t="shared" si="6"/>
        <v>0</v>
      </c>
      <c r="P86" s="81" t="e">
        <f ca="1">MATCH("*",OFFSET(O$49,P85,0):O$159,0)+P85</f>
        <v>#N/A</v>
      </c>
      <c r="Q86" s="1" t="str">
        <f ca="1" t="shared" si="7"/>
        <v>^</v>
      </c>
    </row>
    <row r="87" spans="1:17" ht="12.75">
      <c r="A87" s="132" t="s">
        <v>231</v>
      </c>
      <c r="B87" s="132"/>
      <c r="C87" s="79" t="b">
        <f>H141&gt;0</f>
        <v>0</v>
      </c>
      <c r="D87" s="34" t="b">
        <v>0</v>
      </c>
      <c r="E87" s="34" t="b">
        <v>0</v>
      </c>
      <c r="F87" s="34"/>
      <c r="G87" s="34">
        <f t="shared" si="8"/>
        <v>0</v>
      </c>
      <c r="H87" s="82">
        <f t="shared" si="9"/>
        <v>0</v>
      </c>
      <c r="I87" s="1" t="b">
        <f>IF(C87,A87)</f>
        <v>0</v>
      </c>
      <c r="J87" s="81">
        <f ca="1">MATCH("*",OFFSET(I$49,J86,0):I$159,0)+J86</f>
        <v>90</v>
      </c>
      <c r="K87" s="1" t="str">
        <f ca="1" t="shared" si="3"/>
        <v>Simple Weapon Proficiency</v>
      </c>
      <c r="L87" s="1" t="b">
        <f>IF(AND(C87,D87),A87)</f>
        <v>0</v>
      </c>
      <c r="M87" s="81">
        <f ca="1">MATCH("*",OFFSET(L$49,M86,0):L$159,0)+M86</f>
        <v>140</v>
      </c>
      <c r="N87" s="1" t="str">
        <f ca="1" t="shared" si="5"/>
        <v>^</v>
      </c>
      <c r="O87" s="1" t="b">
        <f>IF(AND(C87,E87),A87)</f>
        <v>0</v>
      </c>
      <c r="P87" s="81" t="e">
        <f ca="1">MATCH("*",OFFSET(O$49,P86,0):O$159,0)+P86</f>
        <v>#N/A</v>
      </c>
      <c r="Q87" s="1" t="str">
        <f ca="1" t="shared" si="7"/>
        <v>^</v>
      </c>
    </row>
    <row r="88" spans="1:17" ht="12.75">
      <c r="A88" s="132" t="s">
        <v>232</v>
      </c>
      <c r="B88" s="132"/>
      <c r="C88" s="79" t="b">
        <f>H143&gt;0</f>
        <v>0</v>
      </c>
      <c r="D88" s="34" t="b">
        <v>0</v>
      </c>
      <c r="E88" s="34" t="b">
        <v>0</v>
      </c>
      <c r="F88" s="34"/>
      <c r="G88" s="34">
        <f t="shared" si="8"/>
        <v>0</v>
      </c>
      <c r="H88" s="82">
        <f t="shared" si="9"/>
        <v>0</v>
      </c>
      <c r="I88" s="1" t="b">
        <f t="shared" si="2"/>
        <v>0</v>
      </c>
      <c r="J88" s="81">
        <f ca="1">MATCH("*",OFFSET(I$49,J87,0):I$159,0)+J87</f>
        <v>91</v>
      </c>
      <c r="K88" s="1" t="str">
        <f ca="1" t="shared" si="3"/>
        <v>Skill Focus</v>
      </c>
      <c r="L88" s="1" t="b">
        <f t="shared" si="4"/>
        <v>0</v>
      </c>
      <c r="M88" s="81">
        <f ca="1">MATCH("*",OFFSET(L$49,M87,0):L$159,0)+M87</f>
        <v>141</v>
      </c>
      <c r="N88" s="1" t="str">
        <f ca="1" t="shared" si="5"/>
        <v>^</v>
      </c>
      <c r="O88" s="1" t="b">
        <f t="shared" si="6"/>
        <v>0</v>
      </c>
      <c r="P88" s="81" t="e">
        <f ca="1">MATCH("*",OFFSET(O$49,P87,0):O$159,0)+P87</f>
        <v>#N/A</v>
      </c>
      <c r="Q88" s="1" t="str">
        <f ca="1" t="shared" si="7"/>
        <v>^</v>
      </c>
    </row>
    <row r="89" spans="1:17" ht="12.75">
      <c r="A89" s="132" t="s">
        <v>233</v>
      </c>
      <c r="B89" s="132"/>
      <c r="C89" s="79" t="b">
        <f>AND(Dex&gt;=19,H106&gt;0,H154&gt;0,BAB&gt;=11)</f>
        <v>0</v>
      </c>
      <c r="D89" s="34" t="b">
        <v>0</v>
      </c>
      <c r="E89" s="34" t="b">
        <v>1</v>
      </c>
      <c r="F89" s="34">
        <f>IF(AND(Begin!F72="Two-Weapon Combat",Classes!C14&gt;=11),1,"")</f>
      </c>
      <c r="G89" s="34">
        <f t="shared" si="8"/>
        <v>0</v>
      </c>
      <c r="H89" s="82">
        <f t="shared" si="9"/>
        <v>0</v>
      </c>
      <c r="I89" s="1" t="b">
        <f t="shared" si="2"/>
        <v>0</v>
      </c>
      <c r="J89" s="81">
        <f ca="1">MATCH("*",OFFSET(I$49,J88,0):I$159,0)+J88</f>
        <v>93</v>
      </c>
      <c r="K89" s="1" t="str">
        <f ca="1" t="shared" si="3"/>
        <v>Spell Focus</v>
      </c>
      <c r="L89" s="1" t="b">
        <f t="shared" si="4"/>
        <v>0</v>
      </c>
      <c r="M89" s="81">
        <f ca="1">MATCH("*",OFFSET(L$49,M88,0):L$159,0)+M88</f>
        <v>142</v>
      </c>
      <c r="N89" s="1" t="str">
        <f ca="1" t="shared" si="5"/>
        <v>^</v>
      </c>
      <c r="O89" s="1" t="b">
        <f t="shared" si="6"/>
        <v>0</v>
      </c>
      <c r="P89" s="81" t="e">
        <f ca="1">MATCH("*",OFFSET(O$49,P88,0):O$159,0)+P88</f>
        <v>#N/A</v>
      </c>
      <c r="Q89" s="1" t="str">
        <f ca="1" t="shared" si="7"/>
        <v>^</v>
      </c>
    </row>
    <row r="90" spans="1:17" ht="12.75">
      <c r="A90" s="132" t="s">
        <v>234</v>
      </c>
      <c r="B90" s="132"/>
      <c r="C90" s="79" t="b">
        <f>AND(H156&gt;0,Classes!C11&gt;=8)</f>
        <v>0</v>
      </c>
      <c r="D90" s="34" t="b">
        <v>0</v>
      </c>
      <c r="E90" s="34" t="b">
        <v>1</v>
      </c>
      <c r="F90" s="34"/>
      <c r="G90" s="34">
        <f t="shared" si="8"/>
        <v>0</v>
      </c>
      <c r="H90" s="82">
        <f t="shared" si="9"/>
        <v>0</v>
      </c>
      <c r="I90" s="1" t="b">
        <f>IF(C90,A90)</f>
        <v>0</v>
      </c>
      <c r="J90" s="81">
        <f ca="1">MATCH("*",OFFSET(I$49,J89,0):I$159,0)+J89</f>
        <v>95</v>
      </c>
      <c r="K90" s="1" t="str">
        <f ca="1" t="shared" si="3"/>
        <v>Spell Penetration</v>
      </c>
      <c r="L90" s="1" t="b">
        <f>IF(AND(C90,D90),A90)</f>
        <v>0</v>
      </c>
      <c r="M90" s="81">
        <f ca="1">MATCH("*",OFFSET(L$49,M89,0):L$159,0)+M89</f>
        <v>143</v>
      </c>
      <c r="N90" s="1" t="str">
        <f ca="1" t="shared" si="5"/>
        <v>^</v>
      </c>
      <c r="O90" s="1" t="b">
        <f>IF(AND(C90,E90),A90)</f>
        <v>0</v>
      </c>
      <c r="P90" s="81" t="e">
        <f ca="1">MATCH("*",OFFSET(O$49,P89,0):O$159,0)+P89</f>
        <v>#N/A</v>
      </c>
      <c r="Q90" s="1" t="str">
        <f ca="1" t="shared" si="7"/>
        <v>^</v>
      </c>
    </row>
    <row r="91" spans="1:17" ht="12.75">
      <c r="A91" s="132" t="s">
        <v>235</v>
      </c>
      <c r="B91" s="132"/>
      <c r="C91" s="80" t="b">
        <f>AND(H90&gt;0,H156&gt;0,H157&gt;0,Classes!C11&gt;=12)</f>
        <v>0</v>
      </c>
      <c r="D91" s="34" t="b">
        <v>0</v>
      </c>
      <c r="E91" s="34" t="b">
        <v>1</v>
      </c>
      <c r="F91" s="34"/>
      <c r="G91" s="34">
        <f t="shared" si="8"/>
        <v>0</v>
      </c>
      <c r="H91" s="82">
        <f t="shared" si="9"/>
        <v>0</v>
      </c>
      <c r="I91" s="1" t="b">
        <f>IF(C91,A91)</f>
        <v>0</v>
      </c>
      <c r="J91" s="81">
        <f ca="1">MATCH("*",OFFSET(I$49,J90,0):I$159,0)+J90</f>
        <v>98</v>
      </c>
      <c r="K91" s="1" t="str">
        <f ca="1" t="shared" si="3"/>
        <v>Stealthy</v>
      </c>
      <c r="L91" s="1" t="b">
        <f>IF(AND(C91,D91),A91)</f>
        <v>0</v>
      </c>
      <c r="M91" s="81">
        <f ca="1">MATCH("*",OFFSET(L$49,M90,0):L$159,0)+M90</f>
        <v>144</v>
      </c>
      <c r="N91" s="1" t="str">
        <f ca="1" t="shared" si="5"/>
        <v>^</v>
      </c>
      <c r="O91" s="1" t="b">
        <f>IF(AND(C91,E91),A91)</f>
        <v>0</v>
      </c>
      <c r="P91" s="81" t="e">
        <f ca="1">MATCH("*",OFFSET(O$49,P90,0):O$159,0)+P90</f>
        <v>#N/A</v>
      </c>
      <c r="Q91" s="1" t="str">
        <f ca="1" t="shared" si="7"/>
        <v>^</v>
      </c>
    </row>
    <row r="92" spans="1:17" ht="12.75">
      <c r="A92" s="132" t="s">
        <v>236</v>
      </c>
      <c r="B92" s="132"/>
      <c r="C92" s="79" t="b">
        <v>1</v>
      </c>
      <c r="D92" s="34" t="b">
        <v>1</v>
      </c>
      <c r="E92" s="34" t="b">
        <v>0</v>
      </c>
      <c r="F92" s="34"/>
      <c r="G92" s="34">
        <f t="shared" si="8"/>
        <v>0</v>
      </c>
      <c r="H92" s="82">
        <f t="shared" si="9"/>
        <v>0</v>
      </c>
      <c r="I92" s="1" t="str">
        <f t="shared" si="2"/>
        <v>Heighten Spell</v>
      </c>
      <c r="J92" s="81">
        <f ca="1">MATCH("*",OFFSET(I$49,J91,0):I$159,0)+J91</f>
        <v>99</v>
      </c>
      <c r="K92" s="1" t="str">
        <f ca="1" t="shared" si="3"/>
        <v>Still Spell</v>
      </c>
      <c r="L92" s="1" t="str">
        <f t="shared" si="4"/>
        <v>Heighten Spell</v>
      </c>
      <c r="M92" s="81">
        <f ca="1">MATCH("*",OFFSET(L$49,M91,0):L$159,0)+M91</f>
        <v>145</v>
      </c>
      <c r="N92" s="1" t="str">
        <f ca="1" t="shared" si="5"/>
        <v>^</v>
      </c>
      <c r="O92" s="1" t="b">
        <f t="shared" si="6"/>
        <v>0</v>
      </c>
      <c r="P92" s="81" t="e">
        <f ca="1">MATCH("*",OFFSET(O$49,P91,0):O$159,0)+P91</f>
        <v>#N/A</v>
      </c>
      <c r="Q92" s="1" t="str">
        <f ca="1" t="shared" si="7"/>
        <v>^</v>
      </c>
    </row>
    <row r="93" spans="1:17" ht="12.75">
      <c r="A93" s="132" t="s">
        <v>237</v>
      </c>
      <c r="B93" s="132"/>
      <c r="C93" s="79" t="b">
        <f>AND(Str&gt;=13,H125&gt;0)</f>
        <v>0</v>
      </c>
      <c r="D93" s="34" t="b">
        <v>0</v>
      </c>
      <c r="E93" s="34" t="b">
        <v>1</v>
      </c>
      <c r="F93" s="34"/>
      <c r="G93" s="34">
        <f t="shared" si="8"/>
        <v>0</v>
      </c>
      <c r="H93" s="82">
        <f t="shared" si="9"/>
        <v>0</v>
      </c>
      <c r="I93" s="1" t="b">
        <f t="shared" si="2"/>
        <v>0</v>
      </c>
      <c r="J93" s="81">
        <f ca="1">MATCH("*",OFFSET(I$49,J92,0):I$159,0)+J92</f>
        <v>101</v>
      </c>
      <c r="K93" s="1" t="str">
        <f ca="1" t="shared" si="3"/>
        <v>Toughness</v>
      </c>
      <c r="L93" s="1" t="b">
        <f t="shared" si="4"/>
        <v>0</v>
      </c>
      <c r="M93" s="81">
        <f ca="1">MATCH("*",OFFSET(L$49,M92,0):L$159,0)+M92</f>
        <v>146</v>
      </c>
      <c r="N93" s="1" t="str">
        <f ca="1" t="shared" si="5"/>
        <v>^</v>
      </c>
      <c r="O93" s="1" t="b">
        <f t="shared" si="6"/>
        <v>0</v>
      </c>
      <c r="P93" s="81" t="e">
        <f ca="1">MATCH("*",OFFSET(O$49,P92,0):O$159,0)+P92</f>
        <v>#N/A</v>
      </c>
      <c r="Q93" s="1" t="str">
        <f ca="1" t="shared" si="7"/>
        <v>^</v>
      </c>
    </row>
    <row r="94" spans="1:17" ht="12.75">
      <c r="A94" s="132" t="s">
        <v>238</v>
      </c>
      <c r="B94" s="132"/>
      <c r="C94" s="79" t="b">
        <v>1</v>
      </c>
      <c r="D94" s="34" t="b">
        <v>0</v>
      </c>
      <c r="E94" s="34" t="b">
        <v>0</v>
      </c>
      <c r="F94" s="34"/>
      <c r="G94" s="34">
        <f t="shared" si="8"/>
        <v>0</v>
      </c>
      <c r="H94" s="82">
        <f t="shared" si="9"/>
        <v>0</v>
      </c>
      <c r="I94" s="1" t="str">
        <f t="shared" si="2"/>
        <v>Improved Counterspell</v>
      </c>
      <c r="J94" s="81">
        <f ca="1">MATCH("*",OFFSET(I$49,J93,0):I$159,0)+J93</f>
        <v>103</v>
      </c>
      <c r="K94" s="1" t="str">
        <f ca="1" t="shared" si="3"/>
        <v>Track</v>
      </c>
      <c r="L94" s="1" t="b">
        <f t="shared" si="4"/>
        <v>0</v>
      </c>
      <c r="M94" s="81">
        <f ca="1">MATCH("*",OFFSET(L$49,M93,0):L$159,0)+M93</f>
        <v>147</v>
      </c>
      <c r="N94" s="1" t="str">
        <f ca="1" t="shared" si="5"/>
        <v>^</v>
      </c>
      <c r="O94" s="1" t="b">
        <f t="shared" si="6"/>
        <v>0</v>
      </c>
      <c r="P94" s="81" t="e">
        <f ca="1">MATCH("*",OFFSET(O$49,P93,0):O$159,0)+P93</f>
        <v>#N/A</v>
      </c>
      <c r="Q94" s="1" t="str">
        <f ca="1" t="shared" si="7"/>
        <v>^</v>
      </c>
    </row>
    <row r="95" spans="1:17" ht="12.75">
      <c r="A95" s="132" t="s">
        <v>239</v>
      </c>
      <c r="B95" s="132"/>
      <c r="C95" s="79" t="b">
        <f>BAB&gt;=8</f>
        <v>0</v>
      </c>
      <c r="D95" s="34" t="b">
        <v>0</v>
      </c>
      <c r="E95" s="34" t="b">
        <v>1</v>
      </c>
      <c r="F95" s="34"/>
      <c r="G95" s="34">
        <f t="shared" si="8"/>
        <v>0</v>
      </c>
      <c r="H95" s="82">
        <f t="shared" si="9"/>
        <v>0</v>
      </c>
      <c r="I95" s="1" t="b">
        <f t="shared" si="2"/>
        <v>0</v>
      </c>
      <c r="J95" s="81">
        <f ca="1">MATCH("*",OFFSET(I$49,J94,0):I$159,0)+J94</f>
        <v>111</v>
      </c>
      <c r="K95" s="1" t="str">
        <f ca="1" t="shared" si="3"/>
        <v>Widen Spell</v>
      </c>
      <c r="L95" s="1" t="b">
        <f t="shared" si="4"/>
        <v>0</v>
      </c>
      <c r="M95" s="81">
        <f ca="1">MATCH("*",OFFSET(L$49,M94,0):L$159,0)+M94</f>
        <v>148</v>
      </c>
      <c r="N95" s="1" t="str">
        <f ca="1" t="shared" si="5"/>
        <v>^</v>
      </c>
      <c r="O95" s="1" t="b">
        <f t="shared" si="6"/>
        <v>0</v>
      </c>
      <c r="P95" s="81" t="e">
        <f ca="1">MATCH("*",OFFSET(O$49,P94,0):O$159,0)+P94</f>
        <v>#N/A</v>
      </c>
      <c r="Q95" s="1" t="str">
        <f ca="1" t="shared" si="7"/>
        <v>^</v>
      </c>
    </row>
    <row r="96" spans="1:17" ht="12.75">
      <c r="A96" s="132" t="s">
        <v>240</v>
      </c>
      <c r="B96" s="132"/>
      <c r="C96" s="79" t="b">
        <f>AND(Int&gt;=13,H62&gt;0)</f>
        <v>0</v>
      </c>
      <c r="D96" s="34" t="b">
        <v>0</v>
      </c>
      <c r="E96" s="34" t="b">
        <v>1</v>
      </c>
      <c r="F96" s="34">
        <f>IF(AND(A96=Begin!H$51,Classes!C$12&gt;=6),1,"")</f>
      </c>
      <c r="G96" s="34">
        <f t="shared" si="8"/>
        <v>0</v>
      </c>
      <c r="H96" s="82">
        <f t="shared" si="9"/>
        <v>0</v>
      </c>
      <c r="I96" s="1" t="b">
        <f t="shared" si="2"/>
        <v>0</v>
      </c>
      <c r="J96" s="81">
        <f ca="1">MATCH("*",OFFSET(I$49,J95,0):I$159,0)+J95</f>
        <v>112</v>
      </c>
      <c r="K96" s="1" t="str">
        <f ca="1" t="shared" si="3"/>
        <v>^</v>
      </c>
      <c r="L96" s="1" t="b">
        <f t="shared" si="4"/>
        <v>0</v>
      </c>
      <c r="M96" s="81">
        <f ca="1">MATCH("*",OFFSET(L$49,M95,0):L$159,0)+M95</f>
        <v>149</v>
      </c>
      <c r="N96" s="1" t="str">
        <f ca="1" t="shared" si="5"/>
        <v>^</v>
      </c>
      <c r="O96" s="1" t="b">
        <f t="shared" si="6"/>
        <v>0</v>
      </c>
      <c r="P96" s="81" t="e">
        <f ca="1">MATCH("*",OFFSET(O$49,P95,0):O$159,0)+P95</f>
        <v>#N/A</v>
      </c>
      <c r="Q96" s="1" t="str">
        <f ca="1" t="shared" si="7"/>
        <v>^</v>
      </c>
    </row>
    <row r="97" spans="1:17" ht="12.75">
      <c r="A97" s="132" t="s">
        <v>241</v>
      </c>
      <c r="B97" s="132"/>
      <c r="C97" s="79" t="b">
        <f>AND(Int&gt;=13,H62&gt;0)</f>
        <v>0</v>
      </c>
      <c r="D97" s="34" t="b">
        <v>0</v>
      </c>
      <c r="E97" s="34" t="b">
        <v>1</v>
      </c>
      <c r="F97" s="34"/>
      <c r="G97" s="34">
        <f t="shared" si="8"/>
        <v>0</v>
      </c>
      <c r="H97" s="82">
        <f t="shared" si="9"/>
        <v>0</v>
      </c>
      <c r="I97" s="1" t="b">
        <f t="shared" si="2"/>
        <v>0</v>
      </c>
      <c r="J97" s="81">
        <f ca="1">MATCH("*",OFFSET(I$49,J96,0):I$159,0)+J96</f>
        <v>113</v>
      </c>
      <c r="K97" s="1" t="str">
        <f ca="1" t="shared" si="3"/>
        <v>^</v>
      </c>
      <c r="L97" s="1" t="b">
        <f t="shared" si="4"/>
        <v>0</v>
      </c>
      <c r="M97" s="81">
        <f ca="1">MATCH("*",OFFSET(L$49,M96,0):L$159,0)+M96</f>
        <v>150</v>
      </c>
      <c r="N97" s="1" t="str">
        <f ca="1" t="shared" si="5"/>
        <v>^</v>
      </c>
      <c r="O97" s="1" t="b">
        <f t="shared" si="6"/>
        <v>0</v>
      </c>
      <c r="P97" s="81" t="e">
        <f ca="1">MATCH("*",OFFSET(O$49,P96,0):O$159,0)+P96</f>
        <v>#N/A</v>
      </c>
      <c r="Q97" s="1" t="str">
        <f ca="1" t="shared" si="7"/>
        <v>^</v>
      </c>
    </row>
    <row r="98" spans="1:17" ht="12.75">
      <c r="A98" s="132" t="s">
        <v>242</v>
      </c>
      <c r="B98" s="132"/>
      <c r="C98" s="79" t="b">
        <f>AND(Dex&gt;=13,H107&gt;0)</f>
        <v>0</v>
      </c>
      <c r="D98" s="34" t="b">
        <v>0</v>
      </c>
      <c r="E98" s="34" t="b">
        <v>1</v>
      </c>
      <c r="F98" s="34">
        <f>IF(AND(A98=Begin!H$49,Classes!C$12&gt;=1),1,"")</f>
      </c>
      <c r="G98" s="34">
        <f t="shared" si="8"/>
        <v>0</v>
      </c>
      <c r="H98" s="82">
        <f t="shared" si="9"/>
        <v>0</v>
      </c>
      <c r="I98" s="1" t="b">
        <f t="shared" si="2"/>
        <v>0</v>
      </c>
      <c r="J98" s="81">
        <f ca="1">MATCH("*",OFFSET(I$49,J97,0):I$159,0)+J97</f>
        <v>114</v>
      </c>
      <c r="K98" s="1" t="str">
        <f ca="1" t="shared" si="3"/>
        <v>^</v>
      </c>
      <c r="L98" s="1" t="b">
        <f t="shared" si="4"/>
        <v>0</v>
      </c>
      <c r="M98" s="81">
        <f ca="1">MATCH("*",OFFSET(L$49,M97,0):L$159,0)+M97</f>
        <v>151</v>
      </c>
      <c r="N98" s="1" t="str">
        <f ca="1" t="shared" si="5"/>
        <v>^</v>
      </c>
      <c r="O98" s="1" t="b">
        <f t="shared" si="6"/>
        <v>0</v>
      </c>
      <c r="P98" s="81" t="e">
        <f ca="1">MATCH("*",OFFSET(O$49,P97,0):O$159,0)+P97</f>
        <v>#N/A</v>
      </c>
      <c r="Q98" s="1" t="str">
        <f ca="1" t="shared" si="7"/>
        <v>^</v>
      </c>
    </row>
    <row r="99" spans="1:17" ht="12.75">
      <c r="A99" s="132" t="s">
        <v>243</v>
      </c>
      <c r="B99" s="132"/>
      <c r="C99" s="79" t="b">
        <v>1</v>
      </c>
      <c r="D99" s="34" t="b">
        <v>0</v>
      </c>
      <c r="E99" s="34" t="b">
        <v>1</v>
      </c>
      <c r="F99" s="34"/>
      <c r="G99" s="34">
        <f t="shared" si="8"/>
        <v>0</v>
      </c>
      <c r="H99" s="82">
        <f t="shared" si="9"/>
        <v>0</v>
      </c>
      <c r="I99" s="1" t="str">
        <f t="shared" si="2"/>
        <v>Improved Initiative</v>
      </c>
      <c r="J99" s="81">
        <f ca="1">MATCH("*",OFFSET(I$49,J98,0):I$159,0)+J98</f>
        <v>115</v>
      </c>
      <c r="K99" s="1" t="str">
        <f ca="1" t="shared" si="3"/>
        <v>^</v>
      </c>
      <c r="L99" s="1" t="b">
        <f t="shared" si="4"/>
        <v>0</v>
      </c>
      <c r="M99" s="81">
        <f ca="1">MATCH("*",OFFSET(L$49,M98,0):L$159,0)+M98</f>
        <v>152</v>
      </c>
      <c r="N99" s="1" t="str">
        <f ca="1" t="shared" si="5"/>
        <v>^</v>
      </c>
      <c r="O99" s="1" t="str">
        <f t="shared" si="6"/>
        <v>Improved Initiative</v>
      </c>
      <c r="P99" s="81" t="e">
        <f ca="1">MATCH("*",OFFSET(O$49,P98,0):O$159,0)+P98</f>
        <v>#N/A</v>
      </c>
      <c r="Q99" s="1" t="str">
        <f ca="1" t="shared" si="7"/>
        <v>^</v>
      </c>
    </row>
    <row r="100" spans="1:17" ht="12.75">
      <c r="A100" s="132" t="s">
        <v>244</v>
      </c>
      <c r="B100" s="132"/>
      <c r="C100" s="79" t="b">
        <f>AND(Str&gt;=13,H125&gt;0)</f>
        <v>0</v>
      </c>
      <c r="D100" s="34" t="b">
        <v>0</v>
      </c>
      <c r="E100" s="34" t="b">
        <v>1</v>
      </c>
      <c r="F100" s="34"/>
      <c r="G100" s="34">
        <f t="shared" si="8"/>
        <v>0</v>
      </c>
      <c r="H100" s="82">
        <f t="shared" si="9"/>
        <v>0</v>
      </c>
      <c r="I100" s="1" t="b">
        <f t="shared" si="2"/>
        <v>0</v>
      </c>
      <c r="J100" s="81">
        <f ca="1">MATCH("*",OFFSET(I$49,J99,0):I$159,0)+J99</f>
        <v>116</v>
      </c>
      <c r="K100" s="1" t="str">
        <f ca="1" t="shared" si="3"/>
        <v>^</v>
      </c>
      <c r="L100" s="1" t="b">
        <f t="shared" si="4"/>
        <v>0</v>
      </c>
      <c r="M100" s="81">
        <f ca="1">MATCH("*",OFFSET(L$49,M99,0):L$159,0)+M99</f>
        <v>153</v>
      </c>
      <c r="N100" s="1" t="str">
        <f ca="1" t="shared" si="5"/>
        <v>^</v>
      </c>
      <c r="O100" s="1" t="b">
        <f t="shared" si="6"/>
        <v>0</v>
      </c>
      <c r="P100" s="81" t="e">
        <f ca="1">MATCH("*",OFFSET(O$49,P99,0):O$159,0)+P99</f>
        <v>#N/A</v>
      </c>
      <c r="Q100" s="1" t="str">
        <f ca="1" t="shared" si="7"/>
        <v>^</v>
      </c>
    </row>
    <row r="101" spans="1:17" ht="12.75">
      <c r="A101" s="132" t="s">
        <v>245</v>
      </c>
      <c r="B101" s="132"/>
      <c r="C101" s="79" t="b">
        <f>AND(Dex&gt;=19,H124&gt;0,H126&gt;0,BAB&gt;=11)</f>
        <v>0</v>
      </c>
      <c r="D101" s="34" t="b">
        <v>0</v>
      </c>
      <c r="E101" s="34" t="b">
        <v>1</v>
      </c>
      <c r="F101" s="34">
        <f>IF(AND(Begin!F72="Archery",Classes!C14&gt;=11),1,"")</f>
      </c>
      <c r="G101" s="34">
        <f t="shared" si="8"/>
        <v>0</v>
      </c>
      <c r="H101" s="82">
        <f t="shared" si="9"/>
        <v>0</v>
      </c>
      <c r="I101" s="1" t="b">
        <f t="shared" si="2"/>
        <v>0</v>
      </c>
      <c r="J101" s="81">
        <f ca="1">MATCH("*",OFFSET(I$49,J100,0):I$159,0)+J100</f>
        <v>117</v>
      </c>
      <c r="K101" s="1" t="str">
        <f ca="1" t="shared" si="3"/>
        <v>^</v>
      </c>
      <c r="L101" s="1" t="b">
        <f t="shared" si="4"/>
        <v>0</v>
      </c>
      <c r="M101" s="81">
        <f ca="1">MATCH("*",OFFSET(L$49,M100,0):L$159,0)+M100</f>
        <v>154</v>
      </c>
      <c r="N101" s="1" t="str">
        <f ca="1" t="shared" si="5"/>
        <v>^</v>
      </c>
      <c r="O101" s="1" t="b">
        <f t="shared" si="6"/>
        <v>0</v>
      </c>
      <c r="P101" s="81" t="e">
        <f ca="1">MATCH("*",OFFSET(O$49,P100,0):O$159,0)+P100</f>
        <v>#N/A</v>
      </c>
      <c r="Q101" s="1" t="str">
        <f ca="1" t="shared" si="7"/>
        <v>^</v>
      </c>
    </row>
    <row r="102" spans="1:17" ht="12.75">
      <c r="A102" s="132" t="s">
        <v>246</v>
      </c>
      <c r="B102" s="132"/>
      <c r="C102" s="79" t="b">
        <f>H135&gt;0</f>
        <v>0</v>
      </c>
      <c r="D102" s="34" t="b">
        <v>0</v>
      </c>
      <c r="E102" s="34" t="b">
        <v>1</v>
      </c>
      <c r="F102" s="34"/>
      <c r="G102" s="34">
        <f t="shared" si="8"/>
        <v>0</v>
      </c>
      <c r="H102" s="82">
        <f t="shared" si="9"/>
        <v>0</v>
      </c>
      <c r="I102" s="1" t="b">
        <f t="shared" si="2"/>
        <v>0</v>
      </c>
      <c r="J102" s="81">
        <f ca="1">MATCH("*",OFFSET(I$49,J101,0):I$159,0)+J101</f>
        <v>118</v>
      </c>
      <c r="K102" s="1" t="str">
        <f ca="1" t="shared" si="3"/>
        <v>^</v>
      </c>
      <c r="L102" s="1" t="b">
        <f t="shared" si="4"/>
        <v>0</v>
      </c>
      <c r="M102" s="81">
        <f ca="1">MATCH("*",OFFSET(L$49,M101,0):L$159,0)+M101</f>
        <v>155</v>
      </c>
      <c r="N102" s="1" t="str">
        <f ca="1" t="shared" si="5"/>
        <v>^</v>
      </c>
      <c r="O102" s="1" t="b">
        <f t="shared" si="6"/>
        <v>0</v>
      </c>
      <c r="P102" s="81" t="e">
        <f ca="1">MATCH("*",OFFSET(O$49,P101,0):O$159,0)+P101</f>
        <v>#N/A</v>
      </c>
      <c r="Q102" s="1" t="str">
        <f ca="1" t="shared" si="7"/>
        <v>^</v>
      </c>
    </row>
    <row r="103" spans="1:17" ht="12.75">
      <c r="A103" s="132" t="s">
        <v>247</v>
      </c>
      <c r="B103" s="132"/>
      <c r="C103" s="79" t="b">
        <f>AND(Str&gt;=13,H125&gt;0)</f>
        <v>0</v>
      </c>
      <c r="D103" s="34" t="b">
        <v>0</v>
      </c>
      <c r="E103" s="34" t="b">
        <v>1</v>
      </c>
      <c r="F103" s="34"/>
      <c r="G103" s="34">
        <f t="shared" si="8"/>
        <v>0</v>
      </c>
      <c r="H103" s="82">
        <f t="shared" si="9"/>
        <v>0</v>
      </c>
      <c r="I103" s="1" t="b">
        <f t="shared" si="2"/>
        <v>0</v>
      </c>
      <c r="J103" s="81">
        <f ca="1">MATCH("*",OFFSET(I$49,J102,0):I$159,0)+J102</f>
        <v>119</v>
      </c>
      <c r="K103" s="1" t="str">
        <f ca="1" t="shared" si="3"/>
        <v>^</v>
      </c>
      <c r="L103" s="1" t="b">
        <f t="shared" si="4"/>
        <v>0</v>
      </c>
      <c r="M103" s="81">
        <f ca="1">MATCH("*",OFFSET(L$49,M102,0):L$159,0)+M102</f>
        <v>156</v>
      </c>
      <c r="N103" s="1" t="str">
        <f ca="1" t="shared" si="5"/>
        <v>^</v>
      </c>
      <c r="O103" s="1" t="b">
        <f t="shared" si="6"/>
        <v>0</v>
      </c>
      <c r="P103" s="81" t="e">
        <f ca="1">MATCH("*",OFFSET(O$49,P102,0):O$159,0)+P102</f>
        <v>#N/A</v>
      </c>
      <c r="Q103" s="1" t="str">
        <f ca="1" t="shared" si="7"/>
        <v>^</v>
      </c>
    </row>
    <row r="104" spans="1:17" ht="12.75">
      <c r="A104" s="132" t="s">
        <v>248</v>
      </c>
      <c r="B104" s="132"/>
      <c r="C104" s="79" t="b">
        <f>AND(Int&gt;=13,H62&gt;0)</f>
        <v>0</v>
      </c>
      <c r="D104" s="34" t="b">
        <v>0</v>
      </c>
      <c r="E104" s="34" t="b">
        <v>1</v>
      </c>
      <c r="F104" s="34">
        <f>IF(AND(A104=Begin!H$51,Classes!C$12&gt;=6),1,"")</f>
      </c>
      <c r="G104" s="34">
        <f t="shared" si="8"/>
        <v>0</v>
      </c>
      <c r="H104" s="82">
        <f t="shared" si="9"/>
        <v>0</v>
      </c>
      <c r="I104" s="1" t="b">
        <f t="shared" si="2"/>
        <v>0</v>
      </c>
      <c r="J104" s="81">
        <f ca="1">MATCH("*",OFFSET(I$49,J103,0):I$159,0)+J103</f>
        <v>120</v>
      </c>
      <c r="K104" s="1" t="str">
        <f ca="1" t="shared" si="3"/>
        <v>^</v>
      </c>
      <c r="L104" s="1" t="b">
        <f t="shared" si="4"/>
        <v>0</v>
      </c>
      <c r="M104" s="81">
        <f ca="1">MATCH("*",OFFSET(L$49,M103,0):L$159,0)+M103</f>
        <v>157</v>
      </c>
      <c r="N104" s="1" t="str">
        <f ca="1" t="shared" si="5"/>
        <v>^</v>
      </c>
      <c r="O104" s="1" t="b">
        <f t="shared" si="6"/>
        <v>0</v>
      </c>
      <c r="P104" s="81" t="e">
        <f ca="1">MATCH("*",OFFSET(O$49,P103,0):O$159,0)+P103</f>
        <v>#N/A</v>
      </c>
      <c r="Q104" s="1" t="str">
        <f ca="1" t="shared" si="7"/>
        <v>^</v>
      </c>
    </row>
    <row r="105" spans="1:17" ht="12.75">
      <c r="A105" s="132" t="s">
        <v>249</v>
      </c>
      <c r="B105" s="132"/>
      <c r="C105" s="79" t="b">
        <f>SUM(Classes!C7,Classes!C13)&gt;0</f>
        <v>0</v>
      </c>
      <c r="D105" s="34" t="b">
        <v>0</v>
      </c>
      <c r="E105" s="34" t="b">
        <v>0</v>
      </c>
      <c r="F105" s="34"/>
      <c r="G105" s="34">
        <f t="shared" si="8"/>
        <v>0</v>
      </c>
      <c r="H105" s="82">
        <f t="shared" si="9"/>
        <v>0</v>
      </c>
      <c r="I105" s="1" t="b">
        <f t="shared" si="2"/>
        <v>0</v>
      </c>
      <c r="J105" s="81">
        <f ca="1">MATCH("*",OFFSET(I$49,J104,0):I$159,0)+J104</f>
        <v>121</v>
      </c>
      <c r="K105" s="1" t="str">
        <f ca="1" t="shared" si="3"/>
        <v>^</v>
      </c>
      <c r="L105" s="1" t="b">
        <f t="shared" si="4"/>
        <v>0</v>
      </c>
      <c r="M105" s="81">
        <f ca="1">MATCH("*",OFFSET(L$49,M104,0):L$159,0)+M104</f>
        <v>158</v>
      </c>
      <c r="N105" s="1" t="str">
        <f ca="1" t="shared" si="5"/>
        <v>^</v>
      </c>
      <c r="O105" s="1" t="b">
        <f t="shared" si="6"/>
        <v>0</v>
      </c>
      <c r="P105" s="81" t="e">
        <f ca="1">MATCH("*",OFFSET(O$49,P104,0):O$159,0)+P104</f>
        <v>#N/A</v>
      </c>
      <c r="Q105" s="1" t="str">
        <f ca="1" t="shared" si="7"/>
        <v>^</v>
      </c>
    </row>
    <row r="106" spans="1:17" ht="12.75">
      <c r="A106" s="132" t="s">
        <v>250</v>
      </c>
      <c r="B106" s="132"/>
      <c r="C106" s="79" t="b">
        <f>AND(Dex&gt;=17,H154&gt;0,BAB&gt;=6)</f>
        <v>0</v>
      </c>
      <c r="D106" s="34" t="b">
        <v>0</v>
      </c>
      <c r="E106" s="34" t="b">
        <v>1</v>
      </c>
      <c r="F106" s="34">
        <f>IF(AND(Begin!F72="Two-Weapon Combat",Classes!C14&gt;=6),1,"")</f>
      </c>
      <c r="G106" s="34">
        <f t="shared" si="8"/>
        <v>0</v>
      </c>
      <c r="H106" s="82">
        <f t="shared" si="9"/>
        <v>0</v>
      </c>
      <c r="I106" s="1" t="b">
        <f t="shared" si="2"/>
        <v>0</v>
      </c>
      <c r="J106" s="81">
        <f ca="1">MATCH("*",OFFSET(I$49,J105,0):I$159,0)+J105</f>
        <v>122</v>
      </c>
      <c r="K106" s="1" t="str">
        <f ca="1" t="shared" si="3"/>
        <v>^</v>
      </c>
      <c r="L106" s="1" t="b">
        <f t="shared" si="4"/>
        <v>0</v>
      </c>
      <c r="M106" s="81">
        <f ca="1">MATCH("*",OFFSET(L$49,M105,0):L$159,0)+M105</f>
        <v>159</v>
      </c>
      <c r="N106" s="1" t="str">
        <f ca="1" t="shared" si="5"/>
        <v>^</v>
      </c>
      <c r="O106" s="1" t="b">
        <f t="shared" si="6"/>
        <v>0</v>
      </c>
      <c r="P106" s="81" t="e">
        <f ca="1">MATCH("*",OFFSET(O$49,P105,0):O$159,0)+P105</f>
        <v>#N/A</v>
      </c>
      <c r="Q106" s="1" t="str">
        <f ca="1" t="shared" si="7"/>
        <v>^</v>
      </c>
    </row>
    <row r="107" spans="1:17" ht="12.75">
      <c r="A107" s="132" t="s">
        <v>251</v>
      </c>
      <c r="B107" s="132"/>
      <c r="C107" s="79" t="b">
        <v>1</v>
      </c>
      <c r="D107" s="34" t="b">
        <v>0</v>
      </c>
      <c r="E107" s="34" t="b">
        <v>1</v>
      </c>
      <c r="F107" s="34">
        <f>IF(Classes!C12&gt;0,1,"")</f>
      </c>
      <c r="G107" s="34">
        <f t="shared" si="8"/>
        <v>0</v>
      </c>
      <c r="H107" s="82">
        <f t="shared" si="9"/>
        <v>0</v>
      </c>
      <c r="I107" s="1" t="str">
        <f t="shared" si="2"/>
        <v>Improved Unarmed Strike</v>
      </c>
      <c r="J107" s="81">
        <f ca="1">MATCH("*",OFFSET(I$49,J106,0):I$159,0)+J106</f>
        <v>123</v>
      </c>
      <c r="K107" s="1" t="str">
        <f ca="1" t="shared" si="3"/>
        <v>^</v>
      </c>
      <c r="L107" s="1" t="b">
        <f t="shared" si="4"/>
        <v>0</v>
      </c>
      <c r="M107" s="81">
        <f ca="1">MATCH("*",OFFSET(L$49,M106,0):L$159,0)+M106</f>
        <v>160</v>
      </c>
      <c r="N107" s="1" t="str">
        <f ca="1" t="shared" si="5"/>
        <v>^</v>
      </c>
      <c r="O107" s="1" t="str">
        <f t="shared" si="6"/>
        <v>Improved Unarmed Strike</v>
      </c>
      <c r="P107" s="81" t="e">
        <f ca="1">MATCH("*",OFFSET(O$49,P106,0):O$159,0)+P106</f>
        <v>#N/A</v>
      </c>
      <c r="Q107" s="1" t="str">
        <f ca="1" t="shared" si="7"/>
        <v>^</v>
      </c>
    </row>
    <row r="108" spans="1:17" ht="12.75">
      <c r="A108" s="132" t="s">
        <v>252</v>
      </c>
      <c r="B108" s="132"/>
      <c r="C108" s="79" t="b">
        <v>1</v>
      </c>
      <c r="D108" s="34" t="b">
        <v>0</v>
      </c>
      <c r="E108" s="34" t="b">
        <v>0</v>
      </c>
      <c r="F108" s="34"/>
      <c r="G108" s="34">
        <f t="shared" si="8"/>
        <v>0</v>
      </c>
      <c r="H108" s="82">
        <f t="shared" si="9"/>
        <v>0</v>
      </c>
      <c r="I108" s="1" t="str">
        <f t="shared" si="2"/>
        <v>Investigator</v>
      </c>
      <c r="J108" s="81">
        <f ca="1">MATCH("*",OFFSET(I$49,J107,0):I$159,0)+J107</f>
        <v>124</v>
      </c>
      <c r="K108" s="1" t="str">
        <f ca="1" t="shared" si="3"/>
        <v>^</v>
      </c>
      <c r="L108" s="1" t="b">
        <f t="shared" si="4"/>
        <v>0</v>
      </c>
      <c r="M108" s="81">
        <f ca="1">MATCH("*",OFFSET(L$49,M107,0):L$159,0)+M107</f>
        <v>161</v>
      </c>
      <c r="N108" s="1" t="str">
        <f ca="1" t="shared" si="5"/>
        <v>^</v>
      </c>
      <c r="O108" s="1" t="b">
        <f t="shared" si="6"/>
        <v>0</v>
      </c>
      <c r="P108" s="81" t="e">
        <f ca="1">MATCH("*",OFFSET(O$49,P107,0):O$159,0)+P107</f>
        <v>#N/A</v>
      </c>
      <c r="Q108" s="1" t="str">
        <f ca="1" t="shared" si="7"/>
        <v>^</v>
      </c>
    </row>
    <row r="109" spans="1:17" ht="12.75">
      <c r="A109" s="132" t="s">
        <v>253</v>
      </c>
      <c r="B109" s="132"/>
      <c r="C109" s="79" t="b">
        <v>1</v>
      </c>
      <c r="D109" s="34" t="b">
        <v>0</v>
      </c>
      <c r="E109" s="34" t="b">
        <v>0</v>
      </c>
      <c r="F109" s="34"/>
      <c r="G109" s="34">
        <f t="shared" si="8"/>
        <v>0</v>
      </c>
      <c r="H109" s="82">
        <f t="shared" si="9"/>
        <v>0</v>
      </c>
      <c r="I109" s="1" t="str">
        <f t="shared" si="2"/>
        <v>Iron Will</v>
      </c>
      <c r="J109" s="81">
        <f ca="1">MATCH("*",OFFSET(I$49,J108,0):I$159,0)+J108</f>
        <v>125</v>
      </c>
      <c r="K109" s="1" t="str">
        <f ca="1" t="shared" si="3"/>
        <v>^</v>
      </c>
      <c r="L109" s="1" t="b">
        <f t="shared" si="4"/>
        <v>0</v>
      </c>
      <c r="M109" s="81">
        <f ca="1">MATCH("*",OFFSET(L$49,M108,0):L$159,0)+M108</f>
        <v>162</v>
      </c>
      <c r="N109" s="1" t="str">
        <f ca="1" t="shared" si="5"/>
        <v>^</v>
      </c>
      <c r="O109" s="1" t="b">
        <f t="shared" si="6"/>
        <v>0</v>
      </c>
      <c r="P109" s="81" t="e">
        <f ca="1">MATCH("*",OFFSET(O$49,P108,0):O$159,0)+P108</f>
        <v>#N/A</v>
      </c>
      <c r="Q109" s="1" t="str">
        <f ca="1" t="shared" si="7"/>
        <v>^</v>
      </c>
    </row>
    <row r="110" spans="1:17" ht="12.75">
      <c r="A110" s="132" t="s">
        <v>254</v>
      </c>
      <c r="B110" s="132"/>
      <c r="C110" s="79" t="b">
        <f>ChrLevel&gt;=6</f>
        <v>0</v>
      </c>
      <c r="D110" s="34" t="b">
        <v>0</v>
      </c>
      <c r="E110" s="34" t="b">
        <v>0</v>
      </c>
      <c r="F110" s="34"/>
      <c r="G110" s="34">
        <f t="shared" si="8"/>
        <v>0</v>
      </c>
      <c r="H110" s="82">
        <f t="shared" si="9"/>
        <v>0</v>
      </c>
      <c r="I110" s="1" t="b">
        <f t="shared" si="2"/>
        <v>0</v>
      </c>
      <c r="J110" s="81">
        <f ca="1">MATCH("*",OFFSET(I$49,J109,0):I$159,0)+J109</f>
        <v>126</v>
      </c>
      <c r="K110" s="1" t="str">
        <f ca="1" t="shared" si="3"/>
        <v>^</v>
      </c>
      <c r="L110" s="1" t="b">
        <f t="shared" si="4"/>
        <v>0</v>
      </c>
      <c r="M110" s="81">
        <f ca="1">MATCH("*",OFFSET(L$49,M109,0):L$159,0)+M109</f>
        <v>163</v>
      </c>
      <c r="N110" s="1" t="str">
        <f ca="1" t="shared" si="5"/>
        <v>^</v>
      </c>
      <c r="O110" s="1" t="b">
        <f t="shared" si="6"/>
        <v>0</v>
      </c>
      <c r="P110" s="81" t="e">
        <f ca="1">MATCH("*",OFFSET(O$49,P109,0):O$159,0)+P109</f>
        <v>#N/A</v>
      </c>
      <c r="Q110" s="1" t="str">
        <f ca="1" t="shared" si="7"/>
        <v>^</v>
      </c>
    </row>
    <row r="111" spans="1:17" ht="12.75">
      <c r="A111" s="132" t="s">
        <v>255</v>
      </c>
      <c r="B111" s="132"/>
      <c r="C111" s="79" t="b">
        <v>1</v>
      </c>
      <c r="D111" s="34" t="b">
        <v>0</v>
      </c>
      <c r="E111" s="34" t="b">
        <v>0</v>
      </c>
      <c r="F111" s="34"/>
      <c r="G111" s="34">
        <f t="shared" si="8"/>
        <v>0</v>
      </c>
      <c r="H111" s="82">
        <f t="shared" si="9"/>
        <v>0</v>
      </c>
      <c r="I111" s="1" t="str">
        <f t="shared" si="2"/>
        <v>Lightning Reflexes</v>
      </c>
      <c r="J111" s="81">
        <f ca="1">MATCH("*",OFFSET(I$49,J110,0):I$159,0)+J110</f>
        <v>127</v>
      </c>
      <c r="K111" s="1" t="str">
        <f ca="1" t="shared" si="3"/>
        <v>^</v>
      </c>
      <c r="L111" s="1" t="b">
        <f t="shared" si="4"/>
        <v>0</v>
      </c>
      <c r="M111" s="81">
        <f ca="1">MATCH("*",OFFSET(L$49,M110,0):L$159,0)+M110</f>
        <v>164</v>
      </c>
      <c r="N111" s="1" t="str">
        <f ca="1" t="shared" si="5"/>
        <v>^</v>
      </c>
      <c r="O111" s="1" t="b">
        <f t="shared" si="6"/>
        <v>0</v>
      </c>
      <c r="P111" s="81" t="e">
        <f ca="1">MATCH("*",OFFSET(O$49,P110,0):O$159,0)+P110</f>
        <v>#N/A</v>
      </c>
      <c r="Q111" s="1" t="str">
        <f ca="1" t="shared" si="7"/>
        <v>^</v>
      </c>
    </row>
    <row r="112" spans="1:17" ht="12.75">
      <c r="A112" s="132" t="s">
        <v>256</v>
      </c>
      <c r="B112" s="132"/>
      <c r="C112" s="79" t="b">
        <v>1</v>
      </c>
      <c r="D112" s="34" t="b">
        <v>0</v>
      </c>
      <c r="E112" s="34" t="b">
        <v>0</v>
      </c>
      <c r="F112" s="34"/>
      <c r="G112" s="34">
        <f t="shared" si="8"/>
        <v>0</v>
      </c>
      <c r="H112" s="82">
        <f t="shared" si="9"/>
        <v>0</v>
      </c>
      <c r="I112" s="1" t="str">
        <f t="shared" si="2"/>
        <v>Magical Aptitude</v>
      </c>
      <c r="J112" s="81">
        <f ca="1">MATCH("*",OFFSET(I$49,J111,0):I$159,0)+J111</f>
        <v>128</v>
      </c>
      <c r="K112" s="1" t="str">
        <f ca="1" t="shared" si="3"/>
        <v>^</v>
      </c>
      <c r="L112" s="1" t="b">
        <f t="shared" si="4"/>
        <v>0</v>
      </c>
      <c r="M112" s="81">
        <f ca="1">MATCH("*",OFFSET(L$49,M111,0):L$159,0)+M111</f>
        <v>165</v>
      </c>
      <c r="N112" s="1" t="str">
        <f ca="1" t="shared" si="5"/>
        <v>^</v>
      </c>
      <c r="O112" s="1" t="b">
        <f t="shared" si="6"/>
        <v>0</v>
      </c>
      <c r="P112" s="81" t="e">
        <f ca="1">MATCH("*",OFFSET(O$49,P111,0):O$159,0)+P111</f>
        <v>#N/A</v>
      </c>
      <c r="Q112" s="1" t="str">
        <f ca="1" t="shared" si="7"/>
        <v>^</v>
      </c>
    </row>
    <row r="113" spans="1:17" ht="12.75">
      <c r="A113" s="132" t="s">
        <v>257</v>
      </c>
      <c r="B113" s="132"/>
      <c r="C113" s="79" t="b">
        <f>AND(Dex&gt;=17,H124&gt;0,H130&gt;0,BAB&gt;=6)</f>
        <v>0</v>
      </c>
      <c r="D113" s="34" t="b">
        <v>0</v>
      </c>
      <c r="E113" s="34" t="b">
        <v>1</v>
      </c>
      <c r="F113" s="34">
        <f>IF(AND(Begin!F72="Archery",Classes!C14&gt;=6),1,"")</f>
      </c>
      <c r="G113" s="34">
        <f aca="true" t="shared" si="10" ref="G113:G145">COUNTIF(L$164:L$190,A113)</f>
        <v>0</v>
      </c>
      <c r="H113" s="82">
        <f>SUM(F113,IF(C113,G113,0))</f>
        <v>0</v>
      </c>
      <c r="I113" s="1" t="b">
        <f t="shared" si="2"/>
        <v>0</v>
      </c>
      <c r="J113" s="81">
        <f ca="1">MATCH("*",OFFSET(I$49,J112,0):I$159,0)+J112</f>
        <v>129</v>
      </c>
      <c r="K113" s="1" t="str">
        <f ca="1" t="shared" si="3"/>
        <v>^</v>
      </c>
      <c r="L113" s="1" t="b">
        <f t="shared" si="4"/>
        <v>0</v>
      </c>
      <c r="M113" s="81">
        <f ca="1">MATCH("*",OFFSET(L$49,M112,0):L$159,0)+M112</f>
        <v>166</v>
      </c>
      <c r="N113" s="1" t="str">
        <f ca="1" t="shared" si="5"/>
        <v>^</v>
      </c>
      <c r="O113" s="1" t="b">
        <f t="shared" si="6"/>
        <v>0</v>
      </c>
      <c r="P113" s="81" t="e">
        <f ca="1">MATCH("*",OFFSET(O$49,P112,0):O$159,0)+P112</f>
        <v>#N/A</v>
      </c>
      <c r="Q113" s="1" t="str">
        <f ca="1" t="shared" si="7"/>
        <v>^</v>
      </c>
    </row>
    <row r="114" spans="1:17" ht="12.75">
      <c r="A114" s="132" t="s">
        <v>258</v>
      </c>
      <c r="B114" s="132"/>
      <c r="C114" s="79" t="b">
        <v>1</v>
      </c>
      <c r="D114" s="34" t="b">
        <v>0</v>
      </c>
      <c r="E114" s="34" t="b">
        <v>0</v>
      </c>
      <c r="F114" s="34">
        <f>IF(SUM(Classes!C4,Classes!C5,Classes!C11,Classes!C13,Classes!C14,Classes!C17)&gt;0,"All","")</f>
      </c>
      <c r="G114" s="34">
        <f t="shared" si="10"/>
        <v>0</v>
      </c>
      <c r="H114" s="82">
        <f>IF(F114="All","All",SUM(F114,IF(C114,G114,0)))</f>
        <v>0</v>
      </c>
      <c r="I114" s="1" t="str">
        <f>IF(AND(C114,H114&lt;&gt;"All"),A114)</f>
        <v>Martial Weapon Proficiency</v>
      </c>
      <c r="J114" s="81">
        <f ca="1">MATCH("*",OFFSET(I$49,J113,0):I$159,0)+J113</f>
        <v>130</v>
      </c>
      <c r="K114" s="1" t="str">
        <f aca="true" ca="1" t="shared" si="11" ref="K114:K159">IF(ISNA(J114),"^",IF(J114&gt;ROW(I$159)-ROW(I$48),"^",OFFSET(I$48,J114,0)))</f>
        <v>^</v>
      </c>
      <c r="L114" s="1" t="b">
        <f>IF(AND(C114,D114,H114&lt;&gt;"All"),A114)</f>
        <v>0</v>
      </c>
      <c r="M114" s="81">
        <f ca="1">MATCH("*",OFFSET(L$49,M113,0):L$159,0)+M113</f>
        <v>167</v>
      </c>
      <c r="N114" s="1" t="str">
        <f aca="true" ca="1" t="shared" si="12" ref="N114:N159">IF(ISNA(M114),"^",IF(M114&gt;ROW(L$159)-ROW(L$48),"^",OFFSET(L$48,M114,0)))</f>
        <v>^</v>
      </c>
      <c r="O114" s="1" t="b">
        <f>IF(AND(C114,E114,H114&lt;&gt;"All"),A114)</f>
        <v>0</v>
      </c>
      <c r="P114" s="81" t="e">
        <f ca="1">MATCH("*",OFFSET(O$49,P113,0):O$159,0)+P113</f>
        <v>#N/A</v>
      </c>
      <c r="Q114" s="1" t="str">
        <f aca="true" ca="1" t="shared" si="13" ref="Q114:Q159">IF(ISNA(P114),"^",IF(P114&gt;ROW(O$159)-ROW(O$48),"^",OFFSET(O$48,P114,0)))</f>
        <v>^</v>
      </c>
    </row>
    <row r="115" spans="1:17" ht="12.75">
      <c r="A115" s="132" t="s">
        <v>259</v>
      </c>
      <c r="B115" s="132"/>
      <c r="C115" s="79" t="b">
        <v>1</v>
      </c>
      <c r="D115" s="34" t="b">
        <v>1</v>
      </c>
      <c r="E115" s="34" t="b">
        <v>0</v>
      </c>
      <c r="F115" s="34"/>
      <c r="G115" s="34">
        <f t="shared" si="10"/>
        <v>0</v>
      </c>
      <c r="H115" s="82">
        <f aca="true" t="shared" si="14" ref="H115:H159">SUM(F115,IF(C115,G115,0))</f>
        <v>0</v>
      </c>
      <c r="I115" s="1" t="str">
        <f aca="true" t="shared" si="15" ref="I115:I159">IF(AND(C115,H115=0),A115)</f>
        <v>Maximize Spell</v>
      </c>
      <c r="J115" s="81">
        <f ca="1">MATCH("*",OFFSET(I$49,J114,0):I$159,0)+J114</f>
        <v>131</v>
      </c>
      <c r="K115" s="1" t="str">
        <f ca="1" t="shared" si="11"/>
        <v>^</v>
      </c>
      <c r="L115" s="1" t="str">
        <f aca="true" t="shared" si="16" ref="L115:L159">IF(AND(C115,D115,H115=0),A115)</f>
        <v>Maximize Spell</v>
      </c>
      <c r="M115" s="81">
        <f ca="1">MATCH("*",OFFSET(L$49,M114,0):L$159,0)+M114</f>
        <v>168</v>
      </c>
      <c r="N115" s="1" t="str">
        <f ca="1" t="shared" si="12"/>
        <v>^</v>
      </c>
      <c r="O115" s="1" t="b">
        <f aca="true" t="shared" si="17" ref="O115:O159">IF(AND(C115,E115,H115=0),A115)</f>
        <v>0</v>
      </c>
      <c r="P115" s="81" t="e">
        <f ca="1">MATCH("*",OFFSET(O$49,P114,0):O$159,0)+P114</f>
        <v>#N/A</v>
      </c>
      <c r="Q115" s="1" t="str">
        <f ca="1" t="shared" si="13"/>
        <v>^</v>
      </c>
    </row>
    <row r="116" spans="1:17" ht="12.75">
      <c r="A116" s="132" t="s">
        <v>260</v>
      </c>
      <c r="B116" s="132"/>
      <c r="C116" s="79" t="b">
        <f>AND(Dex&gt;=13,H75&gt;0)</f>
        <v>0</v>
      </c>
      <c r="D116" s="34" t="b">
        <v>0</v>
      </c>
      <c r="E116" s="34" t="b">
        <v>1</v>
      </c>
      <c r="F116" s="34"/>
      <c r="G116" s="34">
        <f t="shared" si="10"/>
        <v>0</v>
      </c>
      <c r="H116" s="82">
        <f t="shared" si="14"/>
        <v>0</v>
      </c>
      <c r="I116" s="1" t="b">
        <f t="shared" si="15"/>
        <v>0</v>
      </c>
      <c r="J116" s="81">
        <f ca="1">MATCH("*",OFFSET(I$49,J115,0):I$159,0)+J115</f>
        <v>132</v>
      </c>
      <c r="K116" s="1" t="str">
        <f ca="1" t="shared" si="11"/>
        <v>^</v>
      </c>
      <c r="L116" s="1" t="b">
        <f t="shared" si="16"/>
        <v>0</v>
      </c>
      <c r="M116" s="81">
        <f ca="1">MATCH("*",OFFSET(L$49,M115,0):L$159,0)+M115</f>
        <v>169</v>
      </c>
      <c r="N116" s="1" t="str">
        <f ca="1" t="shared" si="12"/>
        <v>^</v>
      </c>
      <c r="O116" s="1" t="b">
        <f t="shared" si="17"/>
        <v>0</v>
      </c>
      <c r="P116" s="81" t="e">
        <f ca="1">MATCH("*",OFFSET(O$49,P115,0):O$159,0)+P115</f>
        <v>#N/A</v>
      </c>
      <c r="Q116" s="1" t="str">
        <f ca="1" t="shared" si="13"/>
        <v>^</v>
      </c>
    </row>
    <row r="117" spans="1:17" ht="12.75">
      <c r="A117" s="132" t="s">
        <v>261</v>
      </c>
      <c r="B117" s="132"/>
      <c r="C117" s="79" t="b">
        <f>AND(Skills!AT27&gt;0,H118&gt;0)</f>
        <v>0</v>
      </c>
      <c r="D117" s="34" t="b">
        <v>0</v>
      </c>
      <c r="E117" s="34" t="b">
        <v>1</v>
      </c>
      <c r="F117" s="34"/>
      <c r="G117" s="34">
        <f t="shared" si="10"/>
        <v>0</v>
      </c>
      <c r="H117" s="82">
        <f t="shared" si="14"/>
        <v>0</v>
      </c>
      <c r="I117" s="1" t="b">
        <f t="shared" si="15"/>
        <v>0</v>
      </c>
      <c r="J117" s="81">
        <f ca="1">MATCH("*",OFFSET(I$49,J116,0):I$159,0)+J116</f>
        <v>133</v>
      </c>
      <c r="K117" s="1" t="str">
        <f ca="1" t="shared" si="11"/>
        <v>^</v>
      </c>
      <c r="L117" s="1" t="b">
        <f t="shared" si="16"/>
        <v>0</v>
      </c>
      <c r="M117" s="81">
        <f ca="1">MATCH("*",OFFSET(L$49,M116,0):L$159,0)+M116</f>
        <v>170</v>
      </c>
      <c r="N117" s="1" t="str">
        <f ca="1" t="shared" si="12"/>
        <v>^</v>
      </c>
      <c r="O117" s="1" t="b">
        <f t="shared" si="17"/>
        <v>0</v>
      </c>
      <c r="P117" s="81" t="e">
        <f ca="1">MATCH("*",OFFSET(O$49,P116,0):O$159,0)+P116</f>
        <v>#N/A</v>
      </c>
      <c r="Q117" s="1" t="str">
        <f ca="1" t="shared" si="13"/>
        <v>^</v>
      </c>
    </row>
    <row r="118" spans="1:17" ht="12.75">
      <c r="A118" s="132" t="s">
        <v>262</v>
      </c>
      <c r="B118" s="132"/>
      <c r="C118" s="79" t="b">
        <f>Skills!AT27&gt;0</f>
        <v>0</v>
      </c>
      <c r="D118" s="34" t="b">
        <v>0</v>
      </c>
      <c r="E118" s="34" t="b">
        <v>1</v>
      </c>
      <c r="F118" s="34"/>
      <c r="G118" s="34">
        <f t="shared" si="10"/>
        <v>0</v>
      </c>
      <c r="H118" s="82">
        <f t="shared" si="14"/>
        <v>0</v>
      </c>
      <c r="I118" s="1" t="b">
        <f t="shared" si="15"/>
        <v>0</v>
      </c>
      <c r="J118" s="81">
        <f ca="1">MATCH("*",OFFSET(I$49,J117,0):I$159,0)+J117</f>
        <v>134</v>
      </c>
      <c r="K118" s="1" t="str">
        <f ca="1" t="shared" si="11"/>
        <v>^</v>
      </c>
      <c r="L118" s="1" t="b">
        <f t="shared" si="16"/>
        <v>0</v>
      </c>
      <c r="M118" s="81">
        <f ca="1">MATCH("*",OFFSET(L$49,M117,0):L$159,0)+M117</f>
        <v>171</v>
      </c>
      <c r="N118" s="1" t="str">
        <f ca="1" t="shared" si="12"/>
        <v>^</v>
      </c>
      <c r="O118" s="1" t="b">
        <f t="shared" si="17"/>
        <v>0</v>
      </c>
      <c r="P118" s="81" t="e">
        <f ca="1">MATCH("*",OFFSET(O$49,P117,0):O$159,0)+P117</f>
        <v>#N/A</v>
      </c>
      <c r="Q118" s="1" t="str">
        <f ca="1" t="shared" si="13"/>
        <v>^</v>
      </c>
    </row>
    <row r="119" spans="1:17" ht="12.75">
      <c r="A119" s="132" t="s">
        <v>263</v>
      </c>
      <c r="B119" s="132"/>
      <c r="C119" s="79" t="b">
        <f>AND(Wis&gt;=13,Classes!C9&gt;=5)</f>
        <v>0</v>
      </c>
      <c r="D119" s="34" t="b">
        <v>0</v>
      </c>
      <c r="E119" s="34" t="b">
        <v>0</v>
      </c>
      <c r="F119" s="34"/>
      <c r="G119" s="34">
        <f t="shared" si="10"/>
        <v>0</v>
      </c>
      <c r="H119" s="82">
        <f t="shared" si="14"/>
        <v>0</v>
      </c>
      <c r="I119" s="1" t="b">
        <f t="shared" si="15"/>
        <v>0</v>
      </c>
      <c r="J119" s="81">
        <f ca="1">MATCH("*",OFFSET(I$49,J118,0):I$159,0)+J118</f>
        <v>135</v>
      </c>
      <c r="K119" s="1" t="str">
        <f ca="1" t="shared" si="11"/>
        <v>^</v>
      </c>
      <c r="L119" s="1" t="b">
        <f t="shared" si="16"/>
        <v>0</v>
      </c>
      <c r="M119" s="81">
        <f ca="1">MATCH("*",OFFSET(L$49,M118,0):L$159,0)+M118</f>
        <v>172</v>
      </c>
      <c r="N119" s="1" t="str">
        <f ca="1" t="shared" si="12"/>
        <v>^</v>
      </c>
      <c r="O119" s="1" t="b">
        <f t="shared" si="17"/>
        <v>0</v>
      </c>
      <c r="P119" s="81" t="e">
        <f ca="1">MATCH("*",OFFSET(O$49,P118,0):O$159,0)+P118</f>
        <v>#N/A</v>
      </c>
      <c r="Q119" s="1" t="str">
        <f ca="1" t="shared" si="13"/>
        <v>^</v>
      </c>
    </row>
    <row r="120" spans="1:17" ht="12.75">
      <c r="A120" s="132" t="s">
        <v>264</v>
      </c>
      <c r="B120" s="132"/>
      <c r="C120" s="79" t="b">
        <v>1</v>
      </c>
      <c r="D120" s="34" t="b">
        <v>0</v>
      </c>
      <c r="E120" s="34" t="b">
        <v>0</v>
      </c>
      <c r="F120" s="34"/>
      <c r="G120" s="34">
        <f t="shared" si="10"/>
        <v>0</v>
      </c>
      <c r="H120" s="82">
        <f t="shared" si="14"/>
        <v>0</v>
      </c>
      <c r="I120" s="1" t="str">
        <f t="shared" si="15"/>
        <v>Negotiator</v>
      </c>
      <c r="J120" s="81">
        <f ca="1">MATCH("*",OFFSET(I$49,J119,0):I$159,0)+J119</f>
        <v>136</v>
      </c>
      <c r="K120" s="1" t="str">
        <f ca="1" t="shared" si="11"/>
        <v>^</v>
      </c>
      <c r="L120" s="1" t="b">
        <f t="shared" si="16"/>
        <v>0</v>
      </c>
      <c r="M120" s="81">
        <f ca="1">MATCH("*",OFFSET(L$49,M119,0):L$159,0)+M119</f>
        <v>173</v>
      </c>
      <c r="N120" s="1" t="str">
        <f ca="1" t="shared" si="12"/>
        <v>^</v>
      </c>
      <c r="O120" s="1" t="b">
        <f t="shared" si="17"/>
        <v>0</v>
      </c>
      <c r="P120" s="81" t="e">
        <f ca="1">MATCH("*",OFFSET(O$49,P119,0):O$159,0)+P119</f>
        <v>#N/A</v>
      </c>
      <c r="Q120" s="1" t="str">
        <f ca="1" t="shared" si="13"/>
        <v>^</v>
      </c>
    </row>
    <row r="121" spans="1:17" ht="12.75">
      <c r="A121" s="132" t="s">
        <v>265</v>
      </c>
      <c r="B121" s="132"/>
      <c r="C121" s="79" t="b">
        <v>1</v>
      </c>
      <c r="D121" s="34" t="b">
        <v>0</v>
      </c>
      <c r="E121" s="34" t="b">
        <v>0</v>
      </c>
      <c r="F121" s="34"/>
      <c r="G121" s="34">
        <f t="shared" si="10"/>
        <v>0</v>
      </c>
      <c r="H121" s="82">
        <f t="shared" si="14"/>
        <v>0</v>
      </c>
      <c r="I121" s="1" t="str">
        <f t="shared" si="15"/>
        <v>Nimble Fingers</v>
      </c>
      <c r="J121" s="81">
        <f ca="1">MATCH("*",OFFSET(I$49,J120,0):I$159,0)+J120</f>
        <v>137</v>
      </c>
      <c r="K121" s="1" t="str">
        <f ca="1" t="shared" si="11"/>
        <v>^</v>
      </c>
      <c r="L121" s="1" t="b">
        <f t="shared" si="16"/>
        <v>0</v>
      </c>
      <c r="M121" s="81">
        <f ca="1">MATCH("*",OFFSET(L$49,M120,0):L$159,0)+M120</f>
        <v>174</v>
      </c>
      <c r="N121" s="1" t="str">
        <f ca="1" t="shared" si="12"/>
        <v>^</v>
      </c>
      <c r="O121" s="1" t="b">
        <f t="shared" si="17"/>
        <v>0</v>
      </c>
      <c r="P121" s="81" t="e">
        <f ca="1">MATCH("*",OFFSET(O$49,P120,0):O$159,0)+P120</f>
        <v>#N/A</v>
      </c>
      <c r="Q121" s="1" t="str">
        <f ca="1" t="shared" si="13"/>
        <v>^</v>
      </c>
    </row>
    <row r="122" spans="1:17" ht="12.75">
      <c r="A122" s="133" t="s">
        <v>333</v>
      </c>
      <c r="B122" s="134"/>
      <c r="C122" s="79" t="b">
        <v>1</v>
      </c>
      <c r="D122" s="34" t="b">
        <v>1</v>
      </c>
      <c r="E122" s="34" t="b">
        <v>1</v>
      </c>
      <c r="F122" s="34"/>
      <c r="G122" s="34">
        <f t="shared" si="10"/>
        <v>0</v>
      </c>
      <c r="H122" s="82">
        <f t="shared" si="14"/>
        <v>0</v>
      </c>
      <c r="I122" s="1" t="str">
        <f t="shared" si="15"/>
        <v>Other</v>
      </c>
      <c r="J122" s="81">
        <f ca="1">MATCH("*",OFFSET(I$49,J121,0):I$159,0)+J121</f>
        <v>138</v>
      </c>
      <c r="K122" s="1" t="str">
        <f ca="1" t="shared" si="11"/>
        <v>^</v>
      </c>
      <c r="L122" s="1" t="str">
        <f>IF(AND(C122,D122),A122)</f>
        <v>Other</v>
      </c>
      <c r="M122" s="81">
        <f ca="1">MATCH("*",OFFSET(L$49,M121,0):L$159,0)+M121</f>
        <v>175</v>
      </c>
      <c r="N122" s="1" t="str">
        <f ca="1" t="shared" si="12"/>
        <v>^</v>
      </c>
      <c r="O122" s="1" t="str">
        <f>IF(AND(C122,E122),A122)</f>
        <v>Other</v>
      </c>
      <c r="P122" s="81" t="e">
        <f ca="1">MATCH("*",OFFSET(O$49,P121,0):O$159,0)+P121</f>
        <v>#N/A</v>
      </c>
      <c r="Q122" s="1" t="str">
        <f ca="1" t="shared" si="13"/>
        <v>^</v>
      </c>
    </row>
    <row r="123" spans="1:17" ht="12.75">
      <c r="A123" s="132" t="s">
        <v>266</v>
      </c>
      <c r="B123" s="132"/>
      <c r="C123" s="79" t="b">
        <v>1</v>
      </c>
      <c r="D123" s="34" t="b">
        <v>0</v>
      </c>
      <c r="E123" s="34" t="b">
        <v>0</v>
      </c>
      <c r="F123" s="34"/>
      <c r="G123" s="34">
        <f t="shared" si="10"/>
        <v>0</v>
      </c>
      <c r="H123" s="82">
        <f t="shared" si="14"/>
        <v>0</v>
      </c>
      <c r="I123" s="1" t="str">
        <f t="shared" si="15"/>
        <v>Persuasive</v>
      </c>
      <c r="J123" s="81">
        <f ca="1">MATCH("*",OFFSET(I$49,J121,0):I$159,0)+J121</f>
        <v>138</v>
      </c>
      <c r="K123" s="1" t="str">
        <f ca="1" t="shared" si="11"/>
        <v>^</v>
      </c>
      <c r="L123" s="1" t="b">
        <f t="shared" si="16"/>
        <v>0</v>
      </c>
      <c r="M123" s="81">
        <f ca="1">MATCH("*",OFFSET(L$49,M121,0):L$159,0)+M121</f>
        <v>175</v>
      </c>
      <c r="N123" s="1" t="str">
        <f ca="1" t="shared" si="12"/>
        <v>^</v>
      </c>
      <c r="O123" s="1" t="b">
        <f t="shared" si="17"/>
        <v>0</v>
      </c>
      <c r="P123" s="81" t="e">
        <f ca="1">MATCH("*",OFFSET(O$49,P121,0):O$159,0)+P121</f>
        <v>#N/A</v>
      </c>
      <c r="Q123" s="1" t="str">
        <f ca="1" t="shared" si="13"/>
        <v>^</v>
      </c>
    </row>
    <row r="124" spans="1:17" ht="12.75">
      <c r="A124" s="132" t="s">
        <v>267</v>
      </c>
      <c r="B124" s="132"/>
      <c r="C124" s="79" t="b">
        <v>1</v>
      </c>
      <c r="D124" s="34" t="b">
        <v>0</v>
      </c>
      <c r="E124" s="34" t="b">
        <v>1</v>
      </c>
      <c r="F124" s="34"/>
      <c r="G124" s="34">
        <f t="shared" si="10"/>
        <v>0</v>
      </c>
      <c r="H124" s="82">
        <f t="shared" si="14"/>
        <v>0</v>
      </c>
      <c r="I124" s="1" t="str">
        <f t="shared" si="15"/>
        <v>Point Blank Shot</v>
      </c>
      <c r="J124" s="81">
        <f ca="1">MATCH("*",OFFSET(I$49,J123,0):I$159,0)+J123</f>
        <v>139</v>
      </c>
      <c r="K124" s="1" t="str">
        <f ca="1" t="shared" si="11"/>
        <v>^</v>
      </c>
      <c r="L124" s="1" t="b">
        <f t="shared" si="16"/>
        <v>0</v>
      </c>
      <c r="M124" s="81">
        <f ca="1">MATCH("*",OFFSET(L$49,M123,0):L$159,0)+M123</f>
        <v>176</v>
      </c>
      <c r="N124" s="1" t="str">
        <f ca="1" t="shared" si="12"/>
        <v>^</v>
      </c>
      <c r="O124" s="1" t="str">
        <f t="shared" si="17"/>
        <v>Point Blank Shot</v>
      </c>
      <c r="P124" s="81" t="e">
        <f ca="1">MATCH("*",OFFSET(O$49,P123,0):O$159,0)+P123</f>
        <v>#N/A</v>
      </c>
      <c r="Q124" s="1" t="str">
        <f ca="1" t="shared" si="13"/>
        <v>^</v>
      </c>
    </row>
    <row r="125" spans="1:17" ht="12.75">
      <c r="A125" s="132" t="s">
        <v>268</v>
      </c>
      <c r="B125" s="132"/>
      <c r="C125" s="79" t="b">
        <f>Str&gt;=13</f>
        <v>0</v>
      </c>
      <c r="D125" s="34" t="b">
        <v>0</v>
      </c>
      <c r="E125" s="34" t="b">
        <v>1</v>
      </c>
      <c r="F125" s="34"/>
      <c r="G125" s="34">
        <f t="shared" si="10"/>
        <v>0</v>
      </c>
      <c r="H125" s="82">
        <f t="shared" si="14"/>
        <v>0</v>
      </c>
      <c r="I125" s="1" t="b">
        <f t="shared" si="15"/>
        <v>0</v>
      </c>
      <c r="J125" s="81">
        <f ca="1">MATCH("*",OFFSET(I$49,J124,0):I$159,0)+J124</f>
        <v>140</v>
      </c>
      <c r="K125" s="1" t="str">
        <f ca="1" t="shared" si="11"/>
        <v>^</v>
      </c>
      <c r="L125" s="1" t="b">
        <f t="shared" si="16"/>
        <v>0</v>
      </c>
      <c r="M125" s="81">
        <f ca="1">MATCH("*",OFFSET(L$49,M124,0):L$159,0)+M124</f>
        <v>177</v>
      </c>
      <c r="N125" s="1" t="str">
        <f ca="1" t="shared" si="12"/>
        <v>^</v>
      </c>
      <c r="O125" s="1" t="b">
        <f t="shared" si="17"/>
        <v>0</v>
      </c>
      <c r="P125" s="81" t="e">
        <f ca="1">MATCH("*",OFFSET(O$49,P124,0):O$159,0)+P124</f>
        <v>#N/A</v>
      </c>
      <c r="Q125" s="1" t="str">
        <f ca="1" t="shared" si="13"/>
        <v>^</v>
      </c>
    </row>
    <row r="126" spans="1:17" ht="12.75">
      <c r="A126" s="132" t="s">
        <v>269</v>
      </c>
      <c r="B126" s="132"/>
      <c r="C126" s="79" t="b">
        <f>H124&gt;0</f>
        <v>0</v>
      </c>
      <c r="D126" s="34" t="b">
        <v>0</v>
      </c>
      <c r="E126" s="34" t="b">
        <v>1</v>
      </c>
      <c r="F126" s="34"/>
      <c r="G126" s="34">
        <f t="shared" si="10"/>
        <v>0</v>
      </c>
      <c r="H126" s="82">
        <f t="shared" si="14"/>
        <v>0</v>
      </c>
      <c r="I126" s="1" t="b">
        <f t="shared" si="15"/>
        <v>0</v>
      </c>
      <c r="J126" s="81">
        <f ca="1">MATCH("*",OFFSET(I$49,J125,0):I$159,0)+J125</f>
        <v>141</v>
      </c>
      <c r="K126" s="1" t="str">
        <f ca="1" t="shared" si="11"/>
        <v>^</v>
      </c>
      <c r="L126" s="1" t="b">
        <f t="shared" si="16"/>
        <v>0</v>
      </c>
      <c r="M126" s="81">
        <f ca="1">MATCH("*",OFFSET(L$49,M125,0):L$159,0)+M125</f>
        <v>178</v>
      </c>
      <c r="N126" s="1" t="str">
        <f ca="1" t="shared" si="12"/>
        <v>^</v>
      </c>
      <c r="O126" s="1" t="b">
        <f t="shared" si="17"/>
        <v>0</v>
      </c>
      <c r="P126" s="81" t="e">
        <f ca="1">MATCH("*",OFFSET(O$49,P125,0):O$159,0)+P125</f>
        <v>#N/A</v>
      </c>
      <c r="Q126" s="1" t="str">
        <f ca="1" t="shared" si="13"/>
        <v>^</v>
      </c>
    </row>
    <row r="127" spans="1:17" ht="12.75">
      <c r="A127" s="132" t="s">
        <v>270</v>
      </c>
      <c r="B127" s="132"/>
      <c r="C127" s="79" t="b">
        <f>BAB&gt;0</f>
        <v>0</v>
      </c>
      <c r="D127" s="34" t="b">
        <v>0</v>
      </c>
      <c r="E127" s="34" t="b">
        <v>1</v>
      </c>
      <c r="F127" s="34"/>
      <c r="G127" s="34">
        <f t="shared" si="10"/>
        <v>0</v>
      </c>
      <c r="H127" s="82">
        <f t="shared" si="14"/>
        <v>0</v>
      </c>
      <c r="I127" s="1" t="b">
        <f t="shared" si="15"/>
        <v>0</v>
      </c>
      <c r="J127" s="81">
        <f ca="1">MATCH("*",OFFSET(I$49,J126,0):I$159,0)+J126</f>
        <v>142</v>
      </c>
      <c r="K127" s="1" t="str">
        <f ca="1" t="shared" si="11"/>
        <v>^</v>
      </c>
      <c r="L127" s="1" t="b">
        <f t="shared" si="16"/>
        <v>0</v>
      </c>
      <c r="M127" s="81">
        <f ca="1">MATCH("*",OFFSET(L$49,M126,0):L$159,0)+M126</f>
        <v>179</v>
      </c>
      <c r="N127" s="1" t="str">
        <f ca="1" t="shared" si="12"/>
        <v>^</v>
      </c>
      <c r="O127" s="1" t="b">
        <f t="shared" si="17"/>
        <v>0</v>
      </c>
      <c r="P127" s="81" t="e">
        <f ca="1">MATCH("*",OFFSET(O$49,P126,0):O$159,0)+P126</f>
        <v>#N/A</v>
      </c>
      <c r="Q127" s="1" t="str">
        <f ca="1" t="shared" si="13"/>
        <v>^</v>
      </c>
    </row>
    <row r="128" spans="1:17" ht="12.75">
      <c r="A128" s="132" t="s">
        <v>271</v>
      </c>
      <c r="B128" s="132"/>
      <c r="C128" s="79" t="b">
        <v>1</v>
      </c>
      <c r="D128" s="34" t="b">
        <v>1</v>
      </c>
      <c r="E128" s="34" t="b">
        <v>0</v>
      </c>
      <c r="F128" s="34"/>
      <c r="G128" s="34">
        <f t="shared" si="10"/>
        <v>0</v>
      </c>
      <c r="H128" s="82">
        <f t="shared" si="14"/>
        <v>0</v>
      </c>
      <c r="I128" s="1" t="str">
        <f t="shared" si="15"/>
        <v>Quicken Spell</v>
      </c>
      <c r="J128" s="81">
        <f ca="1">MATCH("*",OFFSET(I$49,J127,0):I$159,0)+J127</f>
        <v>143</v>
      </c>
      <c r="K128" s="1" t="str">
        <f ca="1" t="shared" si="11"/>
        <v>^</v>
      </c>
      <c r="L128" s="1" t="str">
        <f t="shared" si="16"/>
        <v>Quicken Spell</v>
      </c>
      <c r="M128" s="81">
        <f ca="1">MATCH("*",OFFSET(L$49,M127,0):L$159,0)+M127</f>
        <v>180</v>
      </c>
      <c r="N128" s="1" t="str">
        <f ca="1" t="shared" si="12"/>
        <v>^</v>
      </c>
      <c r="O128" s="1" t="b">
        <f t="shared" si="17"/>
        <v>0</v>
      </c>
      <c r="P128" s="81" t="e">
        <f ca="1">MATCH("*",OFFSET(O$49,P127,0):O$159,0)+P127</f>
        <v>#N/A</v>
      </c>
      <c r="Q128" s="1" t="str">
        <f ca="1" t="shared" si="13"/>
        <v>^</v>
      </c>
    </row>
    <row r="129" spans="1:17" ht="12.75">
      <c r="A129" s="132" t="s">
        <v>272</v>
      </c>
      <c r="B129" s="132"/>
      <c r="C129" s="79" t="b">
        <f>OR(Combat!X10,Combat!X11,Combat!X13)</f>
        <v>0</v>
      </c>
      <c r="D129" s="34" t="b">
        <v>0</v>
      </c>
      <c r="E129" s="34" t="b">
        <v>1</v>
      </c>
      <c r="F129" s="34"/>
      <c r="G129" s="34">
        <f t="shared" si="10"/>
        <v>0</v>
      </c>
      <c r="H129" s="82">
        <f t="shared" si="14"/>
        <v>0</v>
      </c>
      <c r="I129" s="1" t="b">
        <f t="shared" si="15"/>
        <v>0</v>
      </c>
      <c r="J129" s="81">
        <f ca="1">MATCH("*",OFFSET(I$49,J128,0):I$159,0)+J128</f>
        <v>144</v>
      </c>
      <c r="K129" s="1" t="str">
        <f ca="1" t="shared" si="11"/>
        <v>^</v>
      </c>
      <c r="L129" s="1" t="b">
        <f t="shared" si="16"/>
        <v>0</v>
      </c>
      <c r="M129" s="81">
        <f ca="1">MATCH("*",OFFSET(L$49,M128,0):L$159,0)+M128</f>
        <v>181</v>
      </c>
      <c r="N129" s="1" t="str">
        <f ca="1" t="shared" si="12"/>
        <v>^</v>
      </c>
      <c r="O129" s="1" t="b">
        <f t="shared" si="17"/>
        <v>0</v>
      </c>
      <c r="P129" s="81" t="e">
        <f ca="1">MATCH("*",OFFSET(O$49,P128,0):O$159,0)+P128</f>
        <v>#N/A</v>
      </c>
      <c r="Q129" s="1" t="str">
        <f ca="1" t="shared" si="13"/>
        <v>^</v>
      </c>
    </row>
    <row r="130" spans="1:17" ht="12.75">
      <c r="A130" s="132" t="s">
        <v>273</v>
      </c>
      <c r="B130" s="132"/>
      <c r="C130" s="79" t="b">
        <f>AND(Dex&gt;=13,H124&gt;0)</f>
        <v>0</v>
      </c>
      <c r="D130" s="34" t="b">
        <v>0</v>
      </c>
      <c r="E130" s="34" t="b">
        <v>1</v>
      </c>
      <c r="F130" s="34">
        <f>IF(AND(Begin!F72="Archery",Classes!C14&gt;=2),1,"")</f>
      </c>
      <c r="G130" s="34">
        <f t="shared" si="10"/>
        <v>0</v>
      </c>
      <c r="H130" s="82">
        <f t="shared" si="14"/>
        <v>0</v>
      </c>
      <c r="I130" s="1" t="b">
        <f t="shared" si="15"/>
        <v>0</v>
      </c>
      <c r="J130" s="81">
        <f ca="1">MATCH("*",OFFSET(I$49,J129,0):I$159,0)+J129</f>
        <v>145</v>
      </c>
      <c r="K130" s="1" t="str">
        <f ca="1" t="shared" si="11"/>
        <v>^</v>
      </c>
      <c r="L130" s="1" t="b">
        <f t="shared" si="16"/>
        <v>0</v>
      </c>
      <c r="M130" s="81">
        <f ca="1">MATCH("*",OFFSET(L$49,M129,0):L$159,0)+M129</f>
        <v>182</v>
      </c>
      <c r="N130" s="1" t="str">
        <f ca="1" t="shared" si="12"/>
        <v>^</v>
      </c>
      <c r="O130" s="1" t="b">
        <f t="shared" si="17"/>
        <v>0</v>
      </c>
      <c r="P130" s="81" t="e">
        <f ca="1">MATCH("*",OFFSET(O$49,P129,0):O$159,0)+P129</f>
        <v>#N/A</v>
      </c>
      <c r="Q130" s="1" t="str">
        <f ca="1" t="shared" si="13"/>
        <v>^</v>
      </c>
    </row>
    <row r="131" spans="1:17" ht="12.75">
      <c r="A131" s="132" t="s">
        <v>274</v>
      </c>
      <c r="B131" s="132"/>
      <c r="C131" s="79" t="b">
        <f>AND(Skills!AT27&gt;0,H118&gt;0)</f>
        <v>0</v>
      </c>
      <c r="D131" s="34" t="b">
        <v>0</v>
      </c>
      <c r="E131" s="34" t="b">
        <v>1</v>
      </c>
      <c r="F131" s="34"/>
      <c r="G131" s="34">
        <f t="shared" si="10"/>
        <v>0</v>
      </c>
      <c r="H131" s="82">
        <f t="shared" si="14"/>
        <v>0</v>
      </c>
      <c r="I131" s="1" t="b">
        <f t="shared" si="15"/>
        <v>0</v>
      </c>
      <c r="J131" s="81">
        <f ca="1">MATCH("*",OFFSET(I$49,J130,0):I$159,0)+J130</f>
        <v>146</v>
      </c>
      <c r="K131" s="1" t="str">
        <f ca="1" t="shared" si="11"/>
        <v>^</v>
      </c>
      <c r="L131" s="1" t="b">
        <f t="shared" si="16"/>
        <v>0</v>
      </c>
      <c r="M131" s="81">
        <f ca="1">MATCH("*",OFFSET(L$49,M130,0):L$159,0)+M130</f>
        <v>183</v>
      </c>
      <c r="N131" s="1" t="str">
        <f ca="1" t="shared" si="12"/>
        <v>^</v>
      </c>
      <c r="O131" s="1" t="b">
        <f t="shared" si="17"/>
        <v>0</v>
      </c>
      <c r="P131" s="81" t="e">
        <f ca="1">MATCH("*",OFFSET(O$49,P130,0):O$159,0)+P130</f>
        <v>#N/A</v>
      </c>
      <c r="Q131" s="1" t="str">
        <f ca="1" t="shared" si="13"/>
        <v>^</v>
      </c>
    </row>
    <row r="132" spans="1:17" ht="12.75">
      <c r="A132" s="132" t="s">
        <v>275</v>
      </c>
      <c r="B132" s="132"/>
      <c r="C132" s="79" t="b">
        <v>1</v>
      </c>
      <c r="D132" s="34" t="b">
        <v>0</v>
      </c>
      <c r="E132" s="34" t="b">
        <v>0</v>
      </c>
      <c r="F132" s="34"/>
      <c r="G132" s="34">
        <f t="shared" si="10"/>
        <v>0</v>
      </c>
      <c r="H132" s="82">
        <f t="shared" si="14"/>
        <v>0</v>
      </c>
      <c r="I132" s="1" t="str">
        <f t="shared" si="15"/>
        <v>Run</v>
      </c>
      <c r="J132" s="81">
        <f ca="1">MATCH("*",OFFSET(I$49,J131,0):I$159,0)+J131</f>
        <v>147</v>
      </c>
      <c r="K132" s="1" t="str">
        <f ca="1" t="shared" si="11"/>
        <v>^</v>
      </c>
      <c r="L132" s="1" t="b">
        <f t="shared" si="16"/>
        <v>0</v>
      </c>
      <c r="M132" s="81">
        <f ca="1">MATCH("*",OFFSET(L$49,M131,0):L$159,0)+M131</f>
        <v>184</v>
      </c>
      <c r="N132" s="1" t="str">
        <f ca="1" t="shared" si="12"/>
        <v>^</v>
      </c>
      <c r="O132" s="1" t="b">
        <f t="shared" si="17"/>
        <v>0</v>
      </c>
      <c r="P132" s="81" t="e">
        <f ca="1">MATCH("*",OFFSET(O$49,P131,0):O$159,0)+P131</f>
        <v>#N/A</v>
      </c>
      <c r="Q132" s="1" t="str">
        <f ca="1" t="shared" si="13"/>
        <v>^</v>
      </c>
    </row>
    <row r="133" spans="1:17" ht="12.75">
      <c r="A133" s="132" t="s">
        <v>276</v>
      </c>
      <c r="B133" s="132"/>
      <c r="C133" s="79" t="b">
        <f>CasterLevel&gt;=1</f>
        <v>0</v>
      </c>
      <c r="D133" s="34" t="b">
        <v>1</v>
      </c>
      <c r="E133" s="34" t="b">
        <v>0</v>
      </c>
      <c r="F133" s="34">
        <f>IF(Classes!C18&gt;0,1,"")</f>
      </c>
      <c r="G133" s="34">
        <f t="shared" si="10"/>
        <v>0</v>
      </c>
      <c r="H133" s="82">
        <f t="shared" si="14"/>
        <v>0</v>
      </c>
      <c r="I133" s="1" t="b">
        <f t="shared" si="15"/>
        <v>0</v>
      </c>
      <c r="J133" s="81">
        <f ca="1">MATCH("*",OFFSET(I$49,J132,0):I$159,0)+J132</f>
        <v>148</v>
      </c>
      <c r="K133" s="1" t="str">
        <f ca="1" t="shared" si="11"/>
        <v>^</v>
      </c>
      <c r="L133" s="1" t="b">
        <f t="shared" si="16"/>
        <v>0</v>
      </c>
      <c r="M133" s="81">
        <f ca="1">MATCH("*",OFFSET(L$49,M132,0):L$159,0)+M132</f>
        <v>185</v>
      </c>
      <c r="N133" s="1" t="str">
        <f ca="1" t="shared" si="12"/>
        <v>^</v>
      </c>
      <c r="O133" s="1" t="b">
        <f t="shared" si="17"/>
        <v>0</v>
      </c>
      <c r="P133" s="81" t="e">
        <f ca="1">MATCH("*",OFFSET(O$49,P132,0):O$159,0)+P132</f>
        <v>#N/A</v>
      </c>
      <c r="Q133" s="1" t="str">
        <f ca="1" t="shared" si="13"/>
        <v>^</v>
      </c>
    </row>
    <row r="134" spans="1:17" ht="12.75">
      <c r="A134" s="132" t="s">
        <v>277</v>
      </c>
      <c r="B134" s="132"/>
      <c r="C134" s="79" t="b">
        <v>1</v>
      </c>
      <c r="D134" s="34" t="b">
        <v>0</v>
      </c>
      <c r="E134" s="34" t="b">
        <v>0</v>
      </c>
      <c r="F134" s="34"/>
      <c r="G134" s="34">
        <f t="shared" si="10"/>
        <v>0</v>
      </c>
      <c r="H134" s="82">
        <f t="shared" si="14"/>
        <v>0</v>
      </c>
      <c r="I134" s="1" t="str">
        <f t="shared" si="15"/>
        <v>Self-Sufficient</v>
      </c>
      <c r="J134" s="81">
        <f ca="1">MATCH("*",OFFSET(I$49,J133,0):I$159,0)+J133</f>
        <v>149</v>
      </c>
      <c r="K134" s="1" t="str">
        <f ca="1" t="shared" si="11"/>
        <v>^</v>
      </c>
      <c r="L134" s="1" t="b">
        <f t="shared" si="16"/>
        <v>0</v>
      </c>
      <c r="M134" s="81">
        <f ca="1">MATCH("*",OFFSET(L$49,M133,0):L$159,0)+M133</f>
        <v>186</v>
      </c>
      <c r="N134" s="1" t="str">
        <f ca="1" t="shared" si="12"/>
        <v>^</v>
      </c>
      <c r="O134" s="1" t="b">
        <f t="shared" si="17"/>
        <v>0</v>
      </c>
      <c r="P134" s="81" t="e">
        <f ca="1">MATCH("*",OFFSET(O$49,P133,0):O$159,0)+P133</f>
        <v>#N/A</v>
      </c>
      <c r="Q134" s="1" t="str">
        <f ca="1" t="shared" si="13"/>
        <v>^</v>
      </c>
    </row>
    <row r="135" spans="1:17" ht="12.75">
      <c r="A135" s="132" t="s">
        <v>278</v>
      </c>
      <c r="B135" s="132"/>
      <c r="C135" s="79" t="b">
        <v>1</v>
      </c>
      <c r="D135" s="34" t="b">
        <v>0</v>
      </c>
      <c r="E135" s="34" t="b">
        <v>0</v>
      </c>
      <c r="F135" s="34">
        <f>IF(SUM(Classes!C4,Classes!C5,Classes!C6,Classes!C7,Classes!C9,Classes!C11,Classes!C13,Classes!C14,Classes!C17)&gt;0,1,"")</f>
      </c>
      <c r="G135" s="34">
        <f t="shared" si="10"/>
        <v>0</v>
      </c>
      <c r="H135" s="82">
        <f t="shared" si="14"/>
        <v>0</v>
      </c>
      <c r="I135" s="1" t="str">
        <f t="shared" si="15"/>
        <v>Shield Proficiency</v>
      </c>
      <c r="J135" s="81">
        <f ca="1">MATCH("*",OFFSET(I$49,J134,0):I$159,0)+J134</f>
        <v>150</v>
      </c>
      <c r="K135" s="1" t="str">
        <f ca="1" t="shared" si="11"/>
        <v>^</v>
      </c>
      <c r="L135" s="1" t="b">
        <f t="shared" si="16"/>
        <v>0</v>
      </c>
      <c r="M135" s="81">
        <f ca="1">MATCH("*",OFFSET(L$49,M134,0):L$159,0)+M134</f>
        <v>187</v>
      </c>
      <c r="N135" s="1" t="str">
        <f ca="1" t="shared" si="12"/>
        <v>^</v>
      </c>
      <c r="O135" s="1" t="b">
        <f t="shared" si="17"/>
        <v>0</v>
      </c>
      <c r="P135" s="81" t="e">
        <f ca="1">MATCH("*",OFFSET(O$49,P134,0):O$159,0)+P134</f>
        <v>#N/A</v>
      </c>
      <c r="Q135" s="1" t="str">
        <f ca="1" t="shared" si="13"/>
        <v>^</v>
      </c>
    </row>
    <row r="136" spans="1:17" ht="12.75">
      <c r="A136" s="132" t="s">
        <v>279</v>
      </c>
      <c r="B136" s="132"/>
      <c r="C136" s="79" t="b">
        <f>AND(Dex&gt;=13,H75&gt;0,H116&gt;0,H124&gt;0,BAB&gt;=4)</f>
        <v>0</v>
      </c>
      <c r="D136" s="34" t="b">
        <v>0</v>
      </c>
      <c r="E136" s="34" t="b">
        <v>1</v>
      </c>
      <c r="F136" s="34"/>
      <c r="G136" s="34">
        <f t="shared" si="10"/>
        <v>0</v>
      </c>
      <c r="H136" s="82">
        <f t="shared" si="14"/>
        <v>0</v>
      </c>
      <c r="I136" s="1" t="b">
        <f t="shared" si="15"/>
        <v>0</v>
      </c>
      <c r="J136" s="81">
        <f ca="1">MATCH("*",OFFSET(I$49,J135,0):I$159,0)+J135</f>
        <v>151</v>
      </c>
      <c r="K136" s="1" t="str">
        <f ca="1" t="shared" si="11"/>
        <v>^</v>
      </c>
      <c r="L136" s="1" t="b">
        <f t="shared" si="16"/>
        <v>0</v>
      </c>
      <c r="M136" s="81">
        <f ca="1">MATCH("*",OFFSET(L$49,M135,0):L$159,0)+M135</f>
        <v>188</v>
      </c>
      <c r="N136" s="1" t="str">
        <f ca="1" t="shared" si="12"/>
        <v>^</v>
      </c>
      <c r="O136" s="1" t="b">
        <f t="shared" si="17"/>
        <v>0</v>
      </c>
      <c r="P136" s="81" t="e">
        <f ca="1">MATCH("*",OFFSET(O$49,P135,0):O$159,0)+P135</f>
        <v>#N/A</v>
      </c>
      <c r="Q136" s="1" t="str">
        <f ca="1" t="shared" si="13"/>
        <v>^</v>
      </c>
    </row>
    <row r="137" spans="1:17" ht="12.75">
      <c r="A137" s="132" t="s">
        <v>280</v>
      </c>
      <c r="B137" s="132"/>
      <c r="C137" s="79" t="b">
        <v>1</v>
      </c>
      <c r="D137" s="34" t="b">
        <v>1</v>
      </c>
      <c r="E137" s="34" t="b">
        <v>0</v>
      </c>
      <c r="F137" s="34"/>
      <c r="G137" s="34">
        <f t="shared" si="10"/>
        <v>0</v>
      </c>
      <c r="H137" s="82">
        <f t="shared" si="14"/>
        <v>0</v>
      </c>
      <c r="I137" s="1" t="str">
        <f t="shared" si="15"/>
        <v>Silent Spell</v>
      </c>
      <c r="J137" s="81">
        <f ca="1">MATCH("*",OFFSET(I$49,J136,0):I$159,0)+J136</f>
        <v>152</v>
      </c>
      <c r="K137" s="1" t="str">
        <f ca="1" t="shared" si="11"/>
        <v>^</v>
      </c>
      <c r="L137" s="1" t="str">
        <f t="shared" si="16"/>
        <v>Silent Spell</v>
      </c>
      <c r="M137" s="81">
        <f ca="1">MATCH("*",OFFSET(L$49,M136,0):L$159,0)+M136</f>
        <v>189</v>
      </c>
      <c r="N137" s="1" t="str">
        <f ca="1" t="shared" si="12"/>
        <v>^</v>
      </c>
      <c r="O137" s="1" t="b">
        <f t="shared" si="17"/>
        <v>0</v>
      </c>
      <c r="P137" s="81" t="e">
        <f ca="1">MATCH("*",OFFSET(O$49,P136,0):O$159,0)+P136</f>
        <v>#N/A</v>
      </c>
      <c r="Q137" s="1" t="str">
        <f ca="1" t="shared" si="13"/>
        <v>^</v>
      </c>
    </row>
    <row r="138" spans="1:17" ht="12.75">
      <c r="A138" s="132" t="s">
        <v>281</v>
      </c>
      <c r="B138" s="132"/>
      <c r="C138" s="79" t="b">
        <v>1</v>
      </c>
      <c r="D138" s="34" t="b">
        <v>0</v>
      </c>
      <c r="E138" s="34" t="b">
        <v>0</v>
      </c>
      <c r="F138" s="34">
        <f>IF(SUM(Classes!C3,Classes!C4,Classes!C5,Classes!C6,Classes!C7,Classes!C10,Classes!C11,Classes!C13,Classes!C14,Classes!C15,Classes!C16,Classes!C17)&gt;0,1,"")</f>
      </c>
      <c r="G138" s="34">
        <f t="shared" si="10"/>
        <v>0</v>
      </c>
      <c r="H138" s="82">
        <f t="shared" si="14"/>
        <v>0</v>
      </c>
      <c r="I138" s="1" t="str">
        <f t="shared" si="15"/>
        <v>Simple Weapon Proficiency</v>
      </c>
      <c r="J138" s="81">
        <f ca="1">MATCH("*",OFFSET(I$49,J137,0):I$159,0)+J137</f>
        <v>153</v>
      </c>
      <c r="K138" s="1" t="str">
        <f ca="1" t="shared" si="11"/>
        <v>^</v>
      </c>
      <c r="L138" s="1" t="b">
        <f t="shared" si="16"/>
        <v>0</v>
      </c>
      <c r="M138" s="81">
        <f ca="1">MATCH("*",OFFSET(L$49,M137,0):L$159,0)+M137</f>
        <v>190</v>
      </c>
      <c r="N138" s="1" t="str">
        <f ca="1" t="shared" si="12"/>
        <v>^</v>
      </c>
      <c r="O138" s="1" t="b">
        <f t="shared" si="17"/>
        <v>0</v>
      </c>
      <c r="P138" s="81" t="e">
        <f ca="1">MATCH("*",OFFSET(O$49,P137,0):O$159,0)+P137</f>
        <v>#N/A</v>
      </c>
      <c r="Q138" s="1" t="str">
        <f ca="1" t="shared" si="13"/>
        <v>^</v>
      </c>
    </row>
    <row r="139" spans="1:17" ht="12.75">
      <c r="A139" s="132" t="s">
        <v>282</v>
      </c>
      <c r="B139" s="132"/>
      <c r="C139" s="79" t="b">
        <v>1</v>
      </c>
      <c r="D139" s="34" t="b">
        <v>0</v>
      </c>
      <c r="E139" s="34" t="b">
        <v>0</v>
      </c>
      <c r="F139" s="34"/>
      <c r="G139" s="34">
        <f t="shared" si="10"/>
        <v>0</v>
      </c>
      <c r="H139" s="82">
        <f t="shared" si="14"/>
        <v>0</v>
      </c>
      <c r="I139" s="1" t="str">
        <f>IF(C139,A139)</f>
        <v>Skill Focus</v>
      </c>
      <c r="J139" s="81">
        <f ca="1">MATCH("*",OFFSET(I$49,J138,0):I$159,0)+J138</f>
        <v>154</v>
      </c>
      <c r="K139" s="1" t="str">
        <f ca="1" t="shared" si="11"/>
        <v>^</v>
      </c>
      <c r="L139" s="1" t="b">
        <f>IF(AND(C139,D139),A139)</f>
        <v>0</v>
      </c>
      <c r="M139" s="81">
        <f ca="1">MATCH("*",OFFSET(L$49,M138,0):L$159,0)+M138</f>
        <v>191</v>
      </c>
      <c r="N139" s="1" t="str">
        <f ca="1" t="shared" si="12"/>
        <v>^</v>
      </c>
      <c r="O139" s="1" t="b">
        <f>IF(AND(C139,E139),A139)</f>
        <v>0</v>
      </c>
      <c r="P139" s="81" t="e">
        <f ca="1">MATCH("*",OFFSET(O$49,P138,0):O$159,0)+P138</f>
        <v>#N/A</v>
      </c>
      <c r="Q139" s="1" t="str">
        <f ca="1" t="shared" si="13"/>
        <v>^</v>
      </c>
    </row>
    <row r="140" spans="1:17" ht="12.75">
      <c r="A140" s="132" t="s">
        <v>283</v>
      </c>
      <c r="B140" s="132"/>
      <c r="C140" s="79" t="b">
        <f>AND(Dex&gt;=15,H71&gt;0,H107&gt;0)</f>
        <v>0</v>
      </c>
      <c r="D140" s="34" t="b">
        <v>0</v>
      </c>
      <c r="E140" s="34" t="b">
        <v>1</v>
      </c>
      <c r="F140" s="34"/>
      <c r="G140" s="34">
        <f t="shared" si="10"/>
        <v>0</v>
      </c>
      <c r="H140" s="82">
        <f t="shared" si="14"/>
        <v>0</v>
      </c>
      <c r="I140" s="1" t="b">
        <f t="shared" si="15"/>
        <v>0</v>
      </c>
      <c r="J140" s="81">
        <f ca="1">MATCH("*",OFFSET(I$49,J139,0):I$159,0)+J139</f>
        <v>155</v>
      </c>
      <c r="K140" s="1" t="str">
        <f ca="1" t="shared" si="11"/>
        <v>^</v>
      </c>
      <c r="L140" s="1" t="b">
        <f t="shared" si="16"/>
        <v>0</v>
      </c>
      <c r="M140" s="81">
        <f ca="1">MATCH("*",OFFSET(L$49,M139,0):L$159,0)+M139</f>
        <v>192</v>
      </c>
      <c r="N140" s="1" t="str">
        <f ca="1" t="shared" si="12"/>
        <v>^</v>
      </c>
      <c r="O140" s="1" t="b">
        <f t="shared" si="17"/>
        <v>0</v>
      </c>
      <c r="P140" s="81" t="e">
        <f ca="1">MATCH("*",OFFSET(O$49,P139,0):O$159,0)+P139</f>
        <v>#N/A</v>
      </c>
      <c r="Q140" s="1" t="str">
        <f ca="1" t="shared" si="13"/>
        <v>^</v>
      </c>
    </row>
    <row r="141" spans="1:17" ht="12.75">
      <c r="A141" s="132" t="s">
        <v>284</v>
      </c>
      <c r="B141" s="132"/>
      <c r="C141" s="79" t="b">
        <v>1</v>
      </c>
      <c r="D141" s="34" t="b">
        <v>0</v>
      </c>
      <c r="E141" s="34" t="b">
        <v>0</v>
      </c>
      <c r="F141" s="34"/>
      <c r="G141" s="34">
        <f t="shared" si="10"/>
        <v>0</v>
      </c>
      <c r="H141" s="82">
        <f t="shared" si="14"/>
        <v>0</v>
      </c>
      <c r="I141" s="1" t="str">
        <f>IF(C141,A141)</f>
        <v>Spell Focus</v>
      </c>
      <c r="J141" s="81">
        <f ca="1">MATCH("*",OFFSET(I$49,J140,0):I$159,0)+J140</f>
        <v>156</v>
      </c>
      <c r="K141" s="1" t="str">
        <f ca="1" t="shared" si="11"/>
        <v>^</v>
      </c>
      <c r="L141" s="1" t="b">
        <f>IF(AND(C141,D141),A141)</f>
        <v>0</v>
      </c>
      <c r="M141" s="81">
        <f ca="1">MATCH("*",OFFSET(L$49,M140,0):L$159,0)+M140</f>
        <v>193</v>
      </c>
      <c r="N141" s="1" t="str">
        <f ca="1" t="shared" si="12"/>
        <v>^</v>
      </c>
      <c r="O141" s="1" t="b">
        <f>IF(AND(C141,E141),A141)</f>
        <v>0</v>
      </c>
      <c r="P141" s="81" t="e">
        <f ca="1">MATCH("*",OFFSET(O$49,P140,0):O$159,0)+P140</f>
        <v>#N/A</v>
      </c>
      <c r="Q141" s="1" t="str">
        <f ca="1" t="shared" si="13"/>
        <v>^</v>
      </c>
    </row>
    <row r="142" spans="1:17" ht="12.75">
      <c r="A142" s="132" t="s">
        <v>285</v>
      </c>
      <c r="B142" s="132"/>
      <c r="C142" s="79" t="b">
        <f>Classes!C18&gt;0</f>
        <v>0</v>
      </c>
      <c r="D142" s="34" t="b">
        <v>1</v>
      </c>
      <c r="E142" s="34" t="b">
        <v>0</v>
      </c>
      <c r="F142" s="34"/>
      <c r="G142" s="34">
        <f t="shared" si="10"/>
        <v>0</v>
      </c>
      <c r="H142" s="82">
        <f t="shared" si="14"/>
        <v>0</v>
      </c>
      <c r="I142" s="1" t="b">
        <f>IF(C142,A142)</f>
        <v>0</v>
      </c>
      <c r="J142" s="81">
        <f ca="1">MATCH("*",OFFSET(I$49,J141,0):I$159,0)+J141</f>
        <v>157</v>
      </c>
      <c r="K142" s="1" t="str">
        <f ca="1" t="shared" si="11"/>
        <v>^</v>
      </c>
      <c r="L142" s="1" t="b">
        <f>IF(AND(C142,D142),A142)</f>
        <v>0</v>
      </c>
      <c r="M142" s="81">
        <f ca="1">MATCH("*",OFFSET(L$49,M141,0):L$159,0)+M141</f>
        <v>194</v>
      </c>
      <c r="N142" s="1" t="str">
        <f ca="1" t="shared" si="12"/>
        <v>^</v>
      </c>
      <c r="O142" s="1" t="b">
        <f>IF(AND(C142,E142),A142)</f>
        <v>0</v>
      </c>
      <c r="P142" s="81" t="e">
        <f ca="1">MATCH("*",OFFSET(O$49,P141,0):O$159,0)+P141</f>
        <v>#N/A</v>
      </c>
      <c r="Q142" s="1" t="str">
        <f ca="1" t="shared" si="13"/>
        <v>^</v>
      </c>
    </row>
    <row r="143" spans="1:17" ht="12.75">
      <c r="A143" s="132" t="s">
        <v>286</v>
      </c>
      <c r="B143" s="132"/>
      <c r="C143" s="79" t="b">
        <v>1</v>
      </c>
      <c r="D143" s="34" t="b">
        <v>0</v>
      </c>
      <c r="E143" s="34" t="b">
        <v>0</v>
      </c>
      <c r="F143" s="34"/>
      <c r="G143" s="34">
        <f t="shared" si="10"/>
        <v>0</v>
      </c>
      <c r="H143" s="82">
        <f t="shared" si="14"/>
        <v>0</v>
      </c>
      <c r="I143" s="1" t="str">
        <f t="shared" si="15"/>
        <v>Spell Penetration</v>
      </c>
      <c r="J143" s="81">
        <f ca="1">MATCH("*",OFFSET(I$49,J142,0):I$159,0)+J142</f>
        <v>158</v>
      </c>
      <c r="K143" s="1" t="str">
        <f ca="1" t="shared" si="11"/>
        <v>^</v>
      </c>
      <c r="L143" s="1" t="b">
        <f t="shared" si="16"/>
        <v>0</v>
      </c>
      <c r="M143" s="81">
        <f ca="1">MATCH("*",OFFSET(L$49,M142,0):L$159,0)+M142</f>
        <v>195</v>
      </c>
      <c r="N143" s="1" t="str">
        <f ca="1" t="shared" si="12"/>
        <v>^</v>
      </c>
      <c r="O143" s="1" t="b">
        <f t="shared" si="17"/>
        <v>0</v>
      </c>
      <c r="P143" s="81" t="e">
        <f ca="1">MATCH("*",OFFSET(O$49,P142,0):O$159,0)+P142</f>
        <v>#N/A</v>
      </c>
      <c r="Q143" s="1" t="str">
        <f ca="1" t="shared" si="13"/>
        <v>^</v>
      </c>
    </row>
    <row r="144" spans="1:17" ht="12.75">
      <c r="A144" s="132" t="s">
        <v>287</v>
      </c>
      <c r="B144" s="132"/>
      <c r="C144" s="79" t="b">
        <f>AND(Skills!AT27&gt;0,H118&gt;0,H131&gt;0)</f>
        <v>0</v>
      </c>
      <c r="D144" s="34" t="b">
        <v>0</v>
      </c>
      <c r="E144" s="34" t="b">
        <v>1</v>
      </c>
      <c r="F144" s="34"/>
      <c r="G144" s="34">
        <f t="shared" si="10"/>
        <v>0</v>
      </c>
      <c r="H144" s="82">
        <f t="shared" si="14"/>
        <v>0</v>
      </c>
      <c r="I144" s="1" t="b">
        <f t="shared" si="15"/>
        <v>0</v>
      </c>
      <c r="J144" s="81">
        <f ca="1">MATCH("*",OFFSET(I$49,J143,0):I$159,0)+J143</f>
        <v>159</v>
      </c>
      <c r="K144" s="1" t="str">
        <f ca="1" t="shared" si="11"/>
        <v>^</v>
      </c>
      <c r="L144" s="1" t="b">
        <f t="shared" si="16"/>
        <v>0</v>
      </c>
      <c r="M144" s="81">
        <f ca="1">MATCH("*",OFFSET(L$49,M143,0):L$159,0)+M143</f>
        <v>196</v>
      </c>
      <c r="N144" s="1" t="str">
        <f ca="1" t="shared" si="12"/>
        <v>^</v>
      </c>
      <c r="O144" s="1" t="b">
        <f t="shared" si="17"/>
        <v>0</v>
      </c>
      <c r="P144" s="81" t="e">
        <f ca="1">MATCH("*",OFFSET(O$49,P143,0):O$159,0)+P143</f>
        <v>#N/A</v>
      </c>
      <c r="Q144" s="1" t="str">
        <f ca="1" t="shared" si="13"/>
        <v>^</v>
      </c>
    </row>
    <row r="145" spans="1:17" ht="12.75">
      <c r="A145" s="132" t="s">
        <v>288</v>
      </c>
      <c r="B145" s="132"/>
      <c r="C145" s="79" t="b">
        <f>AND(Dex&gt;=13,H75&gt;0,H116&gt;0,BAB&gt;=4)</f>
        <v>0</v>
      </c>
      <c r="D145" s="34" t="b">
        <v>0</v>
      </c>
      <c r="E145" s="34" t="b">
        <v>1</v>
      </c>
      <c r="F145" s="34"/>
      <c r="G145" s="34">
        <f t="shared" si="10"/>
        <v>0</v>
      </c>
      <c r="H145" s="82">
        <f t="shared" si="14"/>
        <v>0</v>
      </c>
      <c r="I145" s="1" t="b">
        <f t="shared" si="15"/>
        <v>0</v>
      </c>
      <c r="J145" s="81">
        <f ca="1">MATCH("*",OFFSET(I$49,J144,0):I$159,0)+J144</f>
        <v>160</v>
      </c>
      <c r="K145" s="1" t="str">
        <f ca="1" t="shared" si="11"/>
        <v>^</v>
      </c>
      <c r="L145" s="1" t="b">
        <f t="shared" si="16"/>
        <v>0</v>
      </c>
      <c r="M145" s="81">
        <f ca="1">MATCH("*",OFFSET(L$49,M144,0):L$159,0)+M144</f>
        <v>197</v>
      </c>
      <c r="N145" s="1" t="str">
        <f ca="1" t="shared" si="12"/>
        <v>^</v>
      </c>
      <c r="O145" s="1" t="b">
        <f t="shared" si="17"/>
        <v>0</v>
      </c>
      <c r="P145" s="81" t="e">
        <f ca="1">MATCH("*",OFFSET(O$49,P144,0):O$159,0)+P144</f>
        <v>#N/A</v>
      </c>
      <c r="Q145" s="1" t="str">
        <f ca="1" t="shared" si="13"/>
        <v>^</v>
      </c>
    </row>
    <row r="146" spans="1:17" ht="12.75">
      <c r="A146" s="132" t="s">
        <v>289</v>
      </c>
      <c r="B146" s="132"/>
      <c r="C146" s="79" t="b">
        <v>1</v>
      </c>
      <c r="D146" s="34" t="b">
        <v>0</v>
      </c>
      <c r="E146" s="34" t="b">
        <v>0</v>
      </c>
      <c r="F146" s="34"/>
      <c r="G146" s="34">
        <f aca="true" t="shared" si="18" ref="G146:G159">COUNTIF(L$164:L$190,A146)</f>
        <v>0</v>
      </c>
      <c r="H146" s="82">
        <f t="shared" si="14"/>
        <v>0</v>
      </c>
      <c r="I146" s="1" t="str">
        <f t="shared" si="15"/>
        <v>Stealthy</v>
      </c>
      <c r="J146" s="81">
        <f ca="1">MATCH("*",OFFSET(I$49,J145,0):I$159,0)+J145</f>
        <v>161</v>
      </c>
      <c r="K146" s="1" t="str">
        <f ca="1" t="shared" si="11"/>
        <v>^</v>
      </c>
      <c r="L146" s="1" t="b">
        <f t="shared" si="16"/>
        <v>0</v>
      </c>
      <c r="M146" s="81">
        <f ca="1">MATCH("*",OFFSET(L$49,M145,0):L$159,0)+M145</f>
        <v>198</v>
      </c>
      <c r="N146" s="1" t="str">
        <f ca="1" t="shared" si="12"/>
        <v>^</v>
      </c>
      <c r="O146" s="1" t="b">
        <f t="shared" si="17"/>
        <v>0</v>
      </c>
      <c r="P146" s="81" t="e">
        <f ca="1">MATCH("*",OFFSET(O$49,P145,0):O$159,0)+P145</f>
        <v>#N/A</v>
      </c>
      <c r="Q146" s="1" t="str">
        <f ca="1" t="shared" si="13"/>
        <v>^</v>
      </c>
    </row>
    <row r="147" spans="1:17" ht="12.75">
      <c r="A147" s="132" t="s">
        <v>290</v>
      </c>
      <c r="B147" s="132"/>
      <c r="C147" s="79" t="b">
        <v>1</v>
      </c>
      <c r="D147" s="34" t="b">
        <v>1</v>
      </c>
      <c r="E147" s="34" t="b">
        <v>0</v>
      </c>
      <c r="F147" s="34"/>
      <c r="G147" s="34">
        <f t="shared" si="18"/>
        <v>0</v>
      </c>
      <c r="H147" s="82">
        <f t="shared" si="14"/>
        <v>0</v>
      </c>
      <c r="I147" s="1" t="str">
        <f t="shared" si="15"/>
        <v>Still Spell</v>
      </c>
      <c r="J147" s="81">
        <f ca="1">MATCH("*",OFFSET(I$49,J146,0):I$159,0)+J146</f>
        <v>162</v>
      </c>
      <c r="K147" s="1" t="str">
        <f ca="1" t="shared" si="11"/>
        <v>^</v>
      </c>
      <c r="L147" s="1" t="str">
        <f t="shared" si="16"/>
        <v>Still Spell</v>
      </c>
      <c r="M147" s="81">
        <f ca="1">MATCH("*",OFFSET(L$49,M146,0):L$159,0)+M146</f>
        <v>199</v>
      </c>
      <c r="N147" s="1" t="str">
        <f ca="1" t="shared" si="12"/>
        <v>^</v>
      </c>
      <c r="O147" s="1" t="b">
        <f t="shared" si="17"/>
        <v>0</v>
      </c>
      <c r="P147" s="81" t="e">
        <f ca="1">MATCH("*",OFFSET(O$49,P146,0):O$159,0)+P146</f>
        <v>#N/A</v>
      </c>
      <c r="Q147" s="1" t="str">
        <f ca="1" t="shared" si="13"/>
        <v>^</v>
      </c>
    </row>
    <row r="148" spans="1:17" ht="12.75">
      <c r="A148" s="132" t="s">
        <v>291</v>
      </c>
      <c r="B148" s="132"/>
      <c r="C148" s="79" t="b">
        <f>AND(Dex&gt;=13,Wis&gt;=13,H107&gt;0,BAB&gt;=8)</f>
        <v>0</v>
      </c>
      <c r="D148" s="34" t="b">
        <v>0</v>
      </c>
      <c r="E148" s="34" t="b">
        <v>1</v>
      </c>
      <c r="F148" s="34">
        <f>IF(AND(A148=Begin!H$49,Classes!C$12&gt;=1),1,"")</f>
      </c>
      <c r="G148" s="34">
        <f t="shared" si="18"/>
        <v>0</v>
      </c>
      <c r="H148" s="82">
        <f t="shared" si="14"/>
        <v>0</v>
      </c>
      <c r="I148" s="1" t="b">
        <f t="shared" si="15"/>
        <v>0</v>
      </c>
      <c r="J148" s="81">
        <f ca="1">MATCH("*",OFFSET(I$49,J147,0):I$159,0)+J147</f>
        <v>163</v>
      </c>
      <c r="K148" s="1" t="str">
        <f ca="1" t="shared" si="11"/>
        <v>^</v>
      </c>
      <c r="L148" s="1" t="b">
        <f t="shared" si="16"/>
        <v>0</v>
      </c>
      <c r="M148" s="81">
        <f ca="1">MATCH("*",OFFSET(L$49,M147,0):L$159,0)+M147</f>
        <v>200</v>
      </c>
      <c r="N148" s="1" t="str">
        <f ca="1" t="shared" si="12"/>
        <v>^</v>
      </c>
      <c r="O148" s="1" t="b">
        <f t="shared" si="17"/>
        <v>0</v>
      </c>
      <c r="P148" s="81" t="e">
        <f ca="1">MATCH("*",OFFSET(O$49,P147,0):O$159,0)+P147</f>
        <v>#N/A</v>
      </c>
      <c r="Q148" s="1" t="str">
        <f ca="1" t="shared" si="13"/>
        <v>^</v>
      </c>
    </row>
    <row r="149" spans="1:17" ht="12.75">
      <c r="A149" s="132" t="s">
        <v>292</v>
      </c>
      <c r="B149" s="132"/>
      <c r="C149" s="79" t="b">
        <v>1</v>
      </c>
      <c r="D149" s="34" t="b">
        <v>0</v>
      </c>
      <c r="E149" s="34" t="b">
        <v>0</v>
      </c>
      <c r="F149" s="34"/>
      <c r="G149" s="34">
        <f t="shared" si="18"/>
        <v>0</v>
      </c>
      <c r="H149" s="82">
        <f t="shared" si="14"/>
        <v>0</v>
      </c>
      <c r="I149" s="1" t="str">
        <f>IF(C149,A149)</f>
        <v>Toughness</v>
      </c>
      <c r="J149" s="81">
        <f ca="1">MATCH("*",OFFSET(I$49,J148,0):I$159,0)+J148</f>
        <v>164</v>
      </c>
      <c r="K149" s="1" t="str">
        <f ca="1" t="shared" si="11"/>
        <v>^</v>
      </c>
      <c r="L149" s="1" t="b">
        <f>IF(AND(C149,D149),A149)</f>
        <v>0</v>
      </c>
      <c r="M149" s="81">
        <f ca="1">MATCH("*",OFFSET(L$49,M148,0):L$159,0)+M148</f>
        <v>201</v>
      </c>
      <c r="N149" s="1" t="str">
        <f ca="1" t="shared" si="12"/>
        <v>^</v>
      </c>
      <c r="O149" s="1" t="b">
        <f>IF(AND(C149,E149),A149)</f>
        <v>0</v>
      </c>
      <c r="P149" s="81" t="e">
        <f ca="1">MATCH("*",OFFSET(O$49,P148,0):O$159,0)+P148</f>
        <v>#N/A</v>
      </c>
      <c r="Q149" s="1" t="str">
        <f ca="1" t="shared" si="13"/>
        <v>^</v>
      </c>
    </row>
    <row r="150" spans="1:17" ht="12.75">
      <c r="A150" s="132" t="s">
        <v>293</v>
      </c>
      <c r="B150" s="132"/>
      <c r="C150" s="79" t="b">
        <f>H135&gt;0</f>
        <v>0</v>
      </c>
      <c r="D150" s="34" t="b">
        <v>0</v>
      </c>
      <c r="E150" s="34" t="b">
        <v>0</v>
      </c>
      <c r="F150" s="34">
        <f>IF(Classes!C11&gt;0,1,"")</f>
      </c>
      <c r="G150" s="34">
        <f t="shared" si="18"/>
        <v>0</v>
      </c>
      <c r="H150" s="82">
        <f t="shared" si="14"/>
        <v>0</v>
      </c>
      <c r="I150" s="1" t="b">
        <f t="shared" si="15"/>
        <v>0</v>
      </c>
      <c r="J150" s="81">
        <f ca="1">MATCH("*",OFFSET(I$49,J149,0):I$159,0)+J149</f>
        <v>165</v>
      </c>
      <c r="K150" s="1" t="str">
        <f ca="1" t="shared" si="11"/>
        <v>^</v>
      </c>
      <c r="L150" s="1" t="b">
        <f t="shared" si="16"/>
        <v>0</v>
      </c>
      <c r="M150" s="81">
        <f ca="1">MATCH("*",OFFSET(L$49,M149,0):L$159,0)+M149</f>
        <v>202</v>
      </c>
      <c r="N150" s="1" t="str">
        <f ca="1" t="shared" si="12"/>
        <v>^</v>
      </c>
      <c r="O150" s="1" t="b">
        <f t="shared" si="17"/>
        <v>0</v>
      </c>
      <c r="P150" s="81" t="e">
        <f ca="1">MATCH("*",OFFSET(O$49,P149,0):O$159,0)+P149</f>
        <v>#N/A</v>
      </c>
      <c r="Q150" s="1" t="str">
        <f ca="1" t="shared" si="13"/>
        <v>^</v>
      </c>
    </row>
    <row r="151" spans="1:17" ht="12.75">
      <c r="A151" s="132" t="s">
        <v>294</v>
      </c>
      <c r="B151" s="132"/>
      <c r="C151" s="79" t="b">
        <v>1</v>
      </c>
      <c r="D151" s="34" t="b">
        <v>0</v>
      </c>
      <c r="E151" s="34" t="b">
        <v>0</v>
      </c>
      <c r="F151" s="34">
        <f>IF(Classes!C14&gt;0,1,"")</f>
      </c>
      <c r="G151" s="34">
        <f t="shared" si="18"/>
        <v>0</v>
      </c>
      <c r="H151" s="82">
        <f t="shared" si="14"/>
        <v>0</v>
      </c>
      <c r="I151" s="1" t="str">
        <f t="shared" si="15"/>
        <v>Track</v>
      </c>
      <c r="J151" s="81">
        <f ca="1">MATCH("*",OFFSET(I$49,J150,0):I$159,0)+J150</f>
        <v>166</v>
      </c>
      <c r="K151" s="1" t="str">
        <f ca="1" t="shared" si="11"/>
        <v>^</v>
      </c>
      <c r="L151" s="1" t="b">
        <f t="shared" si="16"/>
        <v>0</v>
      </c>
      <c r="M151" s="81">
        <f ca="1">MATCH("*",OFFSET(L$49,M150,0):L$159,0)+M150</f>
        <v>203</v>
      </c>
      <c r="N151" s="1" t="str">
        <f ca="1" t="shared" si="12"/>
        <v>^</v>
      </c>
      <c r="O151" s="1" t="b">
        <f t="shared" si="17"/>
        <v>0</v>
      </c>
      <c r="P151" s="81" t="e">
        <f ca="1">MATCH("*",OFFSET(O$49,P150,0):O$159,0)+P150</f>
        <v>#N/A</v>
      </c>
      <c r="Q151" s="1" t="str">
        <f ca="1" t="shared" si="13"/>
        <v>^</v>
      </c>
    </row>
    <row r="152" spans="1:17" ht="12.75">
      <c r="A152" s="132" t="s">
        <v>295</v>
      </c>
      <c r="B152" s="132"/>
      <c r="C152" s="79" t="b">
        <f>AND(Skills!AT27&gt;0,H118&gt;0)</f>
        <v>0</v>
      </c>
      <c r="D152" s="34" t="b">
        <v>0</v>
      </c>
      <c r="E152" s="34" t="b">
        <v>1</v>
      </c>
      <c r="F152" s="34"/>
      <c r="G152" s="34">
        <f t="shared" si="18"/>
        <v>0</v>
      </c>
      <c r="H152" s="82">
        <f t="shared" si="14"/>
        <v>0</v>
      </c>
      <c r="I152" s="1" t="b">
        <f t="shared" si="15"/>
        <v>0</v>
      </c>
      <c r="J152" s="81">
        <f ca="1">MATCH("*",OFFSET(I$49,J151,0):I$159,0)+J151</f>
        <v>167</v>
      </c>
      <c r="K152" s="1" t="str">
        <f ca="1" t="shared" si="11"/>
        <v>^</v>
      </c>
      <c r="L152" s="1" t="b">
        <f t="shared" si="16"/>
        <v>0</v>
      </c>
      <c r="M152" s="81">
        <f ca="1">MATCH("*",OFFSET(L$49,M151,0):L$159,0)+M151</f>
        <v>204</v>
      </c>
      <c r="N152" s="1" t="str">
        <f ca="1" t="shared" si="12"/>
        <v>^</v>
      </c>
      <c r="O152" s="1" t="b">
        <f t="shared" si="17"/>
        <v>0</v>
      </c>
      <c r="P152" s="81" t="e">
        <f ca="1">MATCH("*",OFFSET(O$49,P151,0):O$159,0)+P151</f>
        <v>#N/A</v>
      </c>
      <c r="Q152" s="1" t="str">
        <f ca="1" t="shared" si="13"/>
        <v>^</v>
      </c>
    </row>
    <row r="153" spans="1:17" ht="12.75">
      <c r="A153" s="132" t="s">
        <v>296</v>
      </c>
      <c r="B153" s="132"/>
      <c r="C153" s="79" t="b">
        <f>AND(Dex&gt;=15,H154&gt;0)</f>
        <v>0</v>
      </c>
      <c r="D153" s="34" t="b">
        <v>0</v>
      </c>
      <c r="E153" s="34" t="b">
        <v>1</v>
      </c>
      <c r="F153" s="34"/>
      <c r="G153" s="34">
        <f t="shared" si="18"/>
        <v>0</v>
      </c>
      <c r="H153" s="82">
        <f t="shared" si="14"/>
        <v>0</v>
      </c>
      <c r="I153" s="1" t="b">
        <f t="shared" si="15"/>
        <v>0</v>
      </c>
      <c r="J153" s="81">
        <f ca="1">MATCH("*",OFFSET(I$49,J152,0):I$159,0)+J152</f>
        <v>168</v>
      </c>
      <c r="K153" s="1" t="str">
        <f ca="1" t="shared" si="11"/>
        <v>^</v>
      </c>
      <c r="L153" s="1" t="b">
        <f t="shared" si="16"/>
        <v>0</v>
      </c>
      <c r="M153" s="81">
        <f ca="1">MATCH("*",OFFSET(L$49,M152,0):L$159,0)+M152</f>
        <v>205</v>
      </c>
      <c r="N153" s="1" t="str">
        <f ca="1" t="shared" si="12"/>
        <v>^</v>
      </c>
      <c r="O153" s="1" t="b">
        <f t="shared" si="17"/>
        <v>0</v>
      </c>
      <c r="P153" s="81" t="e">
        <f ca="1">MATCH("*",OFFSET(O$49,P152,0):O$159,0)+P152</f>
        <v>#N/A</v>
      </c>
      <c r="Q153" s="1" t="str">
        <f ca="1" t="shared" si="13"/>
        <v>^</v>
      </c>
    </row>
    <row r="154" spans="1:17" ht="12.75">
      <c r="A154" s="132" t="s">
        <v>297</v>
      </c>
      <c r="B154" s="132"/>
      <c r="C154" s="79" t="b">
        <f>Dex&gt;=15</f>
        <v>0</v>
      </c>
      <c r="D154" s="34" t="b">
        <v>0</v>
      </c>
      <c r="E154" s="34" t="b">
        <v>1</v>
      </c>
      <c r="F154" s="34">
        <f>IF(AND(Begin!F72="Two-Weapon Combat",Classes!C14&gt;=2),1,"")</f>
      </c>
      <c r="G154" s="34">
        <f t="shared" si="18"/>
        <v>0</v>
      </c>
      <c r="H154" s="82">
        <f t="shared" si="14"/>
        <v>0</v>
      </c>
      <c r="I154" s="1" t="b">
        <f t="shared" si="15"/>
        <v>0</v>
      </c>
      <c r="J154" s="81">
        <f ca="1">MATCH("*",OFFSET(I$49,J153,0):I$159,0)+J153</f>
        <v>169</v>
      </c>
      <c r="K154" s="1" t="str">
        <f ca="1" t="shared" si="11"/>
        <v>^</v>
      </c>
      <c r="L154" s="1" t="b">
        <f t="shared" si="16"/>
        <v>0</v>
      </c>
      <c r="M154" s="81">
        <f ca="1">MATCH("*",OFFSET(L$49,M153,0):L$159,0)+M153</f>
        <v>206</v>
      </c>
      <c r="N154" s="1" t="str">
        <f ca="1" t="shared" si="12"/>
        <v>^</v>
      </c>
      <c r="O154" s="1" t="b">
        <f t="shared" si="17"/>
        <v>0</v>
      </c>
      <c r="P154" s="81" t="e">
        <f ca="1">MATCH("*",OFFSET(O$49,P153,0):O$159,0)+P153</f>
        <v>#N/A</v>
      </c>
      <c r="Q154" s="1" t="str">
        <f ca="1" t="shared" si="13"/>
        <v>^</v>
      </c>
    </row>
    <row r="155" spans="1:17" ht="12.75">
      <c r="A155" s="132" t="s">
        <v>298</v>
      </c>
      <c r="B155" s="132"/>
      <c r="C155" s="79" t="b">
        <f>BAB&gt;=1</f>
        <v>0</v>
      </c>
      <c r="D155" s="34" t="b">
        <v>0</v>
      </c>
      <c r="E155" s="34" t="b">
        <v>1</v>
      </c>
      <c r="F155" s="34"/>
      <c r="G155" s="34">
        <f t="shared" si="18"/>
        <v>0</v>
      </c>
      <c r="H155" s="82">
        <f t="shared" si="14"/>
        <v>0</v>
      </c>
      <c r="I155" s="1" t="b">
        <f t="shared" si="15"/>
        <v>0</v>
      </c>
      <c r="J155" s="81">
        <f ca="1">MATCH("*",OFFSET(I$49,J154,0):I$159,0)+J154</f>
        <v>170</v>
      </c>
      <c r="K155" s="1" t="str">
        <f ca="1" t="shared" si="11"/>
        <v>^</v>
      </c>
      <c r="L155" s="1" t="b">
        <f t="shared" si="16"/>
        <v>0</v>
      </c>
      <c r="M155" s="81">
        <f ca="1">MATCH("*",OFFSET(L$49,M154,0):L$159,0)+M154</f>
        <v>207</v>
      </c>
      <c r="N155" s="1" t="str">
        <f ca="1" t="shared" si="12"/>
        <v>^</v>
      </c>
      <c r="O155" s="1" t="b">
        <f t="shared" si="17"/>
        <v>0</v>
      </c>
      <c r="P155" s="81" t="e">
        <f ca="1">MATCH("*",OFFSET(O$49,P154,0):O$159,0)+P154</f>
        <v>#N/A</v>
      </c>
      <c r="Q155" s="1" t="str">
        <f ca="1" t="shared" si="13"/>
        <v>^</v>
      </c>
    </row>
    <row r="156" spans="1:17" ht="12.75">
      <c r="A156" s="132" t="s">
        <v>299</v>
      </c>
      <c r="B156" s="132"/>
      <c r="C156" s="79" t="b">
        <f>BAB&gt;=1</f>
        <v>0</v>
      </c>
      <c r="D156" s="34" t="b">
        <v>0</v>
      </c>
      <c r="E156" s="34" t="b">
        <v>1</v>
      </c>
      <c r="F156" s="34"/>
      <c r="G156" s="34">
        <f t="shared" si="18"/>
        <v>0</v>
      </c>
      <c r="H156" s="82">
        <f t="shared" si="14"/>
        <v>0</v>
      </c>
      <c r="I156" s="1" t="b">
        <f>IF(C156,A156)</f>
        <v>0</v>
      </c>
      <c r="J156" s="81">
        <f ca="1">MATCH("*",OFFSET(I$49,J155,0):I$159,0)+J155</f>
        <v>171</v>
      </c>
      <c r="K156" s="1" t="str">
        <f ca="1" t="shared" si="11"/>
        <v>^</v>
      </c>
      <c r="L156" s="1" t="b">
        <f>IF(AND(C156,D156),A156)</f>
        <v>0</v>
      </c>
      <c r="M156" s="81">
        <f ca="1">MATCH("*",OFFSET(L$49,M155,0):L$159,0)+M155</f>
        <v>208</v>
      </c>
      <c r="N156" s="1" t="str">
        <f ca="1" t="shared" si="12"/>
        <v>^</v>
      </c>
      <c r="O156" s="1" t="b">
        <f>IF(AND(C156,E156),A156)</f>
        <v>0</v>
      </c>
      <c r="P156" s="81" t="e">
        <f ca="1">MATCH("*",OFFSET(O$49,P155,0):O$159,0)+P155</f>
        <v>#N/A</v>
      </c>
      <c r="Q156" s="1" t="str">
        <f ca="1" t="shared" si="13"/>
        <v>^</v>
      </c>
    </row>
    <row r="157" spans="1:17" ht="12.75">
      <c r="A157" s="132" t="s">
        <v>300</v>
      </c>
      <c r="B157" s="132"/>
      <c r="C157" s="79" t="b">
        <f>AND(H156&gt;0,Classes!C11&gt;=4)</f>
        <v>0</v>
      </c>
      <c r="D157" s="34" t="b">
        <v>0</v>
      </c>
      <c r="E157" s="34" t="b">
        <v>1</v>
      </c>
      <c r="F157" s="34"/>
      <c r="G157" s="34">
        <f t="shared" si="18"/>
        <v>0</v>
      </c>
      <c r="H157" s="82">
        <f t="shared" si="14"/>
        <v>0</v>
      </c>
      <c r="I157" s="1" t="b">
        <f>IF(C157,A157)</f>
        <v>0</v>
      </c>
      <c r="J157" s="81">
        <f ca="1">MATCH("*",OFFSET(I$49,J156,0):I$159,0)+J156</f>
        <v>172</v>
      </c>
      <c r="K157" s="1" t="str">
        <f ca="1" t="shared" si="11"/>
        <v>^</v>
      </c>
      <c r="L157" s="1" t="b">
        <f>IF(AND(C157,D157),A157)</f>
        <v>0</v>
      </c>
      <c r="M157" s="81">
        <f ca="1">MATCH("*",OFFSET(L$49,M156,0):L$159,0)+M156</f>
        <v>209</v>
      </c>
      <c r="N157" s="1" t="str">
        <f ca="1" t="shared" si="12"/>
        <v>^</v>
      </c>
      <c r="O157" s="1" t="b">
        <f>IF(AND(C157,E157),A157)</f>
        <v>0</v>
      </c>
      <c r="P157" s="81" t="e">
        <f ca="1">MATCH("*",OFFSET(O$49,P156,0):O$159,0)+P156</f>
        <v>#N/A</v>
      </c>
      <c r="Q157" s="1" t="str">
        <f ca="1" t="shared" si="13"/>
        <v>^</v>
      </c>
    </row>
    <row r="158" spans="1:17" ht="12.75">
      <c r="A158" s="132" t="s">
        <v>301</v>
      </c>
      <c r="B158" s="132"/>
      <c r="C158" s="79" t="b">
        <f>AND(Dex&gt;=13,Int&gt;=13,H62&gt;0,H75&gt;0,H116&gt;0,H145&gt;0,BAB&gt;=4)</f>
        <v>0</v>
      </c>
      <c r="D158" s="34" t="b">
        <v>0</v>
      </c>
      <c r="E158" s="34" t="b">
        <v>1</v>
      </c>
      <c r="F158" s="34"/>
      <c r="G158" s="34">
        <f t="shared" si="18"/>
        <v>0</v>
      </c>
      <c r="H158" s="82">
        <f t="shared" si="14"/>
        <v>0</v>
      </c>
      <c r="I158" s="1" t="b">
        <f t="shared" si="15"/>
        <v>0</v>
      </c>
      <c r="J158" s="81">
        <f ca="1">MATCH("*",OFFSET(I$49,J157,0):I$159,0)+J157</f>
        <v>173</v>
      </c>
      <c r="K158" s="1" t="str">
        <f ca="1" t="shared" si="11"/>
        <v>^</v>
      </c>
      <c r="L158" s="1" t="b">
        <f t="shared" si="16"/>
        <v>0</v>
      </c>
      <c r="M158" s="81">
        <f ca="1">MATCH("*",OFFSET(L$49,M157,0):L$159,0)+M157</f>
        <v>210</v>
      </c>
      <c r="N158" s="1" t="str">
        <f ca="1" t="shared" si="12"/>
        <v>^</v>
      </c>
      <c r="O158" s="1" t="b">
        <f t="shared" si="17"/>
        <v>0</v>
      </c>
      <c r="P158" s="81" t="e">
        <f ca="1">MATCH("*",OFFSET(O$49,P157,0):O$159,0)+P157</f>
        <v>#N/A</v>
      </c>
      <c r="Q158" s="1" t="str">
        <f ca="1" t="shared" si="13"/>
        <v>^</v>
      </c>
    </row>
    <row r="159" spans="1:17" ht="12.75">
      <c r="A159" s="132" t="s">
        <v>302</v>
      </c>
      <c r="B159" s="132"/>
      <c r="C159" s="79" t="b">
        <v>1</v>
      </c>
      <c r="D159" s="34" t="b">
        <v>1</v>
      </c>
      <c r="E159" s="34" t="b">
        <v>0</v>
      </c>
      <c r="F159" s="34"/>
      <c r="G159" s="34">
        <f t="shared" si="18"/>
        <v>0</v>
      </c>
      <c r="H159" s="82">
        <f t="shared" si="14"/>
        <v>0</v>
      </c>
      <c r="I159" s="1" t="str">
        <f t="shared" si="15"/>
        <v>Widen Spell</v>
      </c>
      <c r="J159" s="81">
        <f ca="1">MATCH("*",OFFSET(I$49,J158,0):I$159,0)+J158</f>
        <v>174</v>
      </c>
      <c r="K159" s="1" t="str">
        <f ca="1" t="shared" si="11"/>
        <v>^</v>
      </c>
      <c r="L159" s="1" t="str">
        <f t="shared" si="16"/>
        <v>Widen Spell</v>
      </c>
      <c r="M159" s="81">
        <f ca="1">MATCH("*",OFFSET(L$49,M158,0):L$159,0)+M158</f>
        <v>211</v>
      </c>
      <c r="N159" s="1" t="str">
        <f ca="1" t="shared" si="12"/>
        <v>^</v>
      </c>
      <c r="O159" s="1" t="b">
        <f t="shared" si="17"/>
        <v>0</v>
      </c>
      <c r="P159" s="81" t="e">
        <f ca="1">MATCH("*",OFFSET(O$49,P158,0):O$159,0)+P158</f>
        <v>#N/A</v>
      </c>
      <c r="Q159" s="1" t="str">
        <f ca="1" t="shared" si="13"/>
        <v>^</v>
      </c>
    </row>
    <row r="162" spans="1:10" ht="12.75">
      <c r="A162" s="123" t="s">
        <v>890</v>
      </c>
      <c r="B162" s="123"/>
      <c r="C162" s="123"/>
      <c r="D162" s="123"/>
      <c r="E162" s="123"/>
      <c r="F162" s="123"/>
      <c r="G162" s="123"/>
      <c r="H162" s="123"/>
      <c r="I162" s="123"/>
      <c r="J162" s="123"/>
    </row>
    <row r="163" spans="1:13" ht="12.75">
      <c r="A163" s="1" t="s">
        <v>839</v>
      </c>
      <c r="B163" s="1" t="s">
        <v>239</v>
      </c>
      <c r="C163" s="1" t="s">
        <v>840</v>
      </c>
      <c r="D163" s="1" t="s">
        <v>282</v>
      </c>
      <c r="E163" s="1" t="s">
        <v>284</v>
      </c>
      <c r="F163" s="1" t="s">
        <v>231</v>
      </c>
      <c r="G163" s="1" t="s">
        <v>299</v>
      </c>
      <c r="H163" s="1" t="s">
        <v>234</v>
      </c>
      <c r="I163" s="1" t="s">
        <v>300</v>
      </c>
      <c r="J163" s="1" t="s">
        <v>235</v>
      </c>
      <c r="M163" s="1" t="s">
        <v>893</v>
      </c>
    </row>
    <row r="164" spans="1:13" ht="12.75">
      <c r="A164" s="66">
        <f ca="1">IF(Feats!H$80&gt;=ROW(A164)-ROW(A$163),OFFSET(A$22,ROW(A164)-ROW(A$163),0),"")</f>
      </c>
      <c r="B164" s="67">
        <f ca="1">IF(Feats!H$95&gt;=ROW(A164)-ROW(A$163),OFFSET(A$35,ROW(A164)-ROW(A$163),0),"")</f>
      </c>
      <c r="C164" s="67">
        <f ca="1">IF(Feats!H$114&gt;=ROW(A164)-ROW(A$163),OFFSET(C$22,ROW(A164)-ROW(A$163),0),"")</f>
      </c>
      <c r="D164" s="67">
        <f ca="1">IF(Feats!H$139&gt;=ROW(A164)-ROW(A$163),OFFSET(C$35,ROW(A164)-ROW(A$163),0),"")</f>
      </c>
      <c r="E164" s="67">
        <f ca="1">IF(Feats!H$141&gt;=ROW(A164)-ROW(A$163),OFFSET(E$22,ROW(A164)-ROW(A$163),0),"")</f>
      </c>
      <c r="F164" s="67">
        <f ca="1">IF(Feats!H$87&gt;=ROW(A164)-ROW(A$163),OFFSET(E$35,ROW(A164)-ROW(A$163),0),"")</f>
      </c>
      <c r="G164" s="67">
        <f ca="1">IF(Feats!H$156&gt;=ROW(A164)-ROW(A$163),OFFSET(G$22,ROW(A164)-ROW(A$163),0),"")</f>
      </c>
      <c r="H164" s="67">
        <f ca="1">IF(Feats!H$90&gt;=ROW(A164)-ROW(A$163),OFFSET(G$35,ROW(A164)-ROW(A$163),0),"")</f>
      </c>
      <c r="I164" s="67">
        <f ca="1">IF(Feats!H$157&gt;=ROW(A164)-ROW(A$163),OFFSET(I$22,ROW(A164)-ROW(A$163),0),"")</f>
      </c>
      <c r="J164" s="68">
        <f ca="1">IF(Feats!H$91&gt;=ROW(A164)-ROW(A$163),OFFSET(I$35,ROW(A164)-ROW(A$163),0),"")</f>
      </c>
      <c r="K164" s="35">
        <f>IF(COUNTIF(I$164:I$175,H164)&gt;0,IF(LEN(H164)&gt;0,H164,""),"")</f>
      </c>
      <c r="L164" s="35">
        <f>IF(Race="Human",D2,"")</f>
      </c>
      <c r="M164" s="1">
        <f ca="1">IF(Feats!H$122&gt;=ROW(A164)-ROW(A$163),OFFSET(K$22,ROW(A164)-ROW(A$163),0),"")</f>
      </c>
    </row>
    <row r="165" spans="1:13" ht="12.75">
      <c r="A165" s="69">
        <f ca="1">IF(Feats!H$80&gt;=ROW(A165)-ROW(A$163),OFFSET(A$22,ROW(A165)-ROW(A$163),0),"")</f>
      </c>
      <c r="B165" s="70">
        <f ca="1">IF(Feats!H$95&gt;=ROW(A165)-ROW(A$163),OFFSET(A$35,ROW(A165)-ROW(A$163),0),"")</f>
      </c>
      <c r="C165" s="70">
        <f ca="1">IF(Feats!H$114&gt;=ROW(A165)-ROW(A$163),OFFSET(C$22,ROW(A165)-ROW(A$163),0),"")</f>
      </c>
      <c r="D165" s="70">
        <f ca="1">IF(Feats!H$139&gt;=ROW(A165)-ROW(A$163),OFFSET(C$35,ROW(A165)-ROW(A$163),0),"")</f>
      </c>
      <c r="E165" s="70">
        <f ca="1">IF(Feats!H$141&gt;=ROW(A165)-ROW(A$163),OFFSET(E$22,ROW(A165)-ROW(A$163),0),"")</f>
      </c>
      <c r="F165" s="70">
        <f ca="1">IF(Feats!H$87&gt;=ROW(A165)-ROW(A$163),OFFSET(E$35,ROW(A165)-ROW(A$163),0),"")</f>
      </c>
      <c r="G165" s="70">
        <f ca="1">IF(Feats!H$156&gt;=ROW(A165)-ROW(A$163),OFFSET(G$22,ROW(A165)-ROW(A$163),0),"")</f>
      </c>
      <c r="H165" s="70">
        <f ca="1">IF(Feats!H$90&gt;=ROW(A165)-ROW(A$163),OFFSET(G$35,ROW(A165)-ROW(A$163),0),"")</f>
      </c>
      <c r="I165" s="70">
        <f ca="1">IF(Feats!H$157&gt;=ROW(A165)-ROW(A$163),OFFSET(I$22,ROW(A165)-ROW(A$163),0),"")</f>
      </c>
      <c r="J165" s="71">
        <f ca="1">IF(Feats!H$91&gt;=ROW(A165)-ROW(A$163),OFFSET(I$35,ROW(A165)-ROW(A$163),0),"")</f>
      </c>
      <c r="K165" s="83">
        <f aca="true" t="shared" si="19" ref="K165:K175">IF(COUNTIF(I$164:I$175,H165)&gt;0,IF(LEN(H165)&gt;0,H165,""),"")</f>
      </c>
      <c r="L165" s="83">
        <f aca="true" t="shared" si="20" ref="L165:L171">IF(LEN(A6)&gt;0,B6,"")</f>
      </c>
      <c r="M165" s="1">
        <f ca="1">IF(Feats!H$122&gt;=ROW(A165)-ROW(A$163),OFFSET(K$22,ROW(A165)-ROW(A$163),0),"")</f>
      </c>
    </row>
    <row r="166" spans="1:13" ht="12.75">
      <c r="A166" s="69">
        <f ca="1">IF(Feats!H$80&gt;=ROW(A166)-ROW(A$163),OFFSET(A$22,ROW(A166)-ROW(A$163),0),"")</f>
      </c>
      <c r="B166" s="70">
        <f ca="1">IF(Feats!H$95&gt;=ROW(A166)-ROW(A$163),OFFSET(A$35,ROW(A166)-ROW(A$163),0),"")</f>
      </c>
      <c r="C166" s="70">
        <f ca="1">IF(Feats!H$114&gt;=ROW(A166)-ROW(A$163),OFFSET(C$22,ROW(A166)-ROW(A$163),0),"")</f>
      </c>
      <c r="D166" s="70">
        <f ca="1">IF(Feats!H$139&gt;=ROW(A166)-ROW(A$163),OFFSET(C$35,ROW(A166)-ROW(A$163),0),"")</f>
      </c>
      <c r="E166" s="70">
        <f ca="1">IF(Feats!H$141&gt;=ROW(A166)-ROW(A$163),OFFSET(E$22,ROW(A166)-ROW(A$163),0),"")</f>
      </c>
      <c r="F166" s="70">
        <f ca="1">IF(Feats!H$87&gt;=ROW(A166)-ROW(A$163),OFFSET(E$35,ROW(A166)-ROW(A$163),0),"")</f>
      </c>
      <c r="G166" s="70">
        <f ca="1">IF(Feats!H$156&gt;=ROW(A166)-ROW(A$163),OFFSET(G$22,ROW(A166)-ROW(A$163),0),"")</f>
      </c>
      <c r="H166" s="70">
        <f ca="1">IF(Feats!H$90&gt;=ROW(A166)-ROW(A$163),OFFSET(G$35,ROW(A166)-ROW(A$163),0),"")</f>
      </c>
      <c r="I166" s="70">
        <f ca="1">IF(Feats!H$157&gt;=ROW(A166)-ROW(A$163),OFFSET(I$22,ROW(A166)-ROW(A$163),0),"")</f>
      </c>
      <c r="J166" s="71">
        <f ca="1">IF(Feats!H$91&gt;=ROW(A166)-ROW(A$163),OFFSET(I$35,ROW(A166)-ROW(A$163),0),"")</f>
      </c>
      <c r="K166" s="83">
        <f t="shared" si="19"/>
      </c>
      <c r="L166" s="83">
        <f t="shared" si="20"/>
      </c>
      <c r="M166" s="1">
        <f ca="1">IF(Feats!H$122&gt;=ROW(A166)-ROW(A$163),OFFSET(K$22,ROW(A166)-ROW(A$163),0),"")</f>
      </c>
    </row>
    <row r="167" spans="1:13" ht="12.75">
      <c r="A167" s="69">
        <f ca="1">IF(Feats!H$80&gt;=ROW(A167)-ROW(A$163),OFFSET(A$22,ROW(A167)-ROW(A$163),0),"")</f>
      </c>
      <c r="B167" s="70">
        <f ca="1">IF(Feats!H$95&gt;=ROW(A167)-ROW(A$163),OFFSET(A$35,ROW(A167)-ROW(A$163),0),"")</f>
      </c>
      <c r="C167" s="70">
        <f ca="1">IF(Feats!H$114&gt;=ROW(A167)-ROW(A$163),OFFSET(C$22,ROW(A167)-ROW(A$163),0),"")</f>
      </c>
      <c r="D167" s="70">
        <f ca="1">IF(Feats!H$139&gt;=ROW(A167)-ROW(A$163),OFFSET(C$35,ROW(A167)-ROW(A$163),0),"")</f>
      </c>
      <c r="E167" s="70">
        <f ca="1">IF(Feats!H$141&gt;=ROW(A167)-ROW(A$163),OFFSET(E$22,ROW(A167)-ROW(A$163),0),"")</f>
      </c>
      <c r="F167" s="70">
        <f ca="1">IF(Feats!H$87&gt;=ROW(A167)-ROW(A$163),OFFSET(E$35,ROW(A167)-ROW(A$163),0),"")</f>
      </c>
      <c r="G167" s="70">
        <f ca="1">IF(Feats!H$156&gt;=ROW(A167)-ROW(A$163),OFFSET(G$22,ROW(A167)-ROW(A$163),0),"")</f>
      </c>
      <c r="H167" s="70">
        <f ca="1">IF(Feats!H$90&gt;=ROW(A167)-ROW(A$163),OFFSET(G$35,ROW(A167)-ROW(A$163),0),"")</f>
      </c>
      <c r="I167" s="70">
        <f ca="1">IF(Feats!H$157&gt;=ROW(A167)-ROW(A$163),OFFSET(I$22,ROW(A167)-ROW(A$163),0),"")</f>
      </c>
      <c r="J167" s="71">
        <f ca="1">IF(Feats!H$91&gt;=ROW(A167)-ROW(A$163),OFFSET(I$35,ROW(A167)-ROW(A$163),0),"")</f>
      </c>
      <c r="K167" s="83">
        <f t="shared" si="19"/>
      </c>
      <c r="L167" s="83">
        <f t="shared" si="20"/>
      </c>
      <c r="M167" s="1">
        <f ca="1">IF(Feats!H$122&gt;=ROW(A167)-ROW(A$163),OFFSET(K$22,ROW(A167)-ROW(A$163),0),"")</f>
      </c>
    </row>
    <row r="168" spans="1:13" ht="12.75">
      <c r="A168" s="69">
        <f ca="1">IF(Feats!H$80&gt;=ROW(A168)-ROW(A$163),OFFSET(A$22,ROW(A168)-ROW(A$163),0),"")</f>
      </c>
      <c r="B168" s="70">
        <f ca="1">IF(Feats!H$95&gt;=ROW(A168)-ROW(A$163),OFFSET(A$35,ROW(A168)-ROW(A$163),0),"")</f>
      </c>
      <c r="C168" s="70">
        <f ca="1">IF(Feats!H$114&gt;=ROW(A168)-ROW(A$163),OFFSET(C$22,ROW(A168)-ROW(A$163),0),"")</f>
      </c>
      <c r="D168" s="70">
        <f ca="1">IF(Feats!H$139&gt;=ROW(A168)-ROW(A$163),OFFSET(C$35,ROW(A168)-ROW(A$163),0),"")</f>
      </c>
      <c r="E168" s="70">
        <f ca="1">IF(Feats!H$141&gt;=ROW(A168)-ROW(A$163),OFFSET(E$22,ROW(A168)-ROW(A$163),0),"")</f>
      </c>
      <c r="F168" s="70">
        <f ca="1">IF(Feats!H$87&gt;=ROW(A168)-ROW(A$163),OFFSET(E$35,ROW(A168)-ROW(A$163),0),"")</f>
      </c>
      <c r="G168" s="70">
        <f ca="1">IF(Feats!H$156&gt;=ROW(A168)-ROW(A$163),OFFSET(G$22,ROW(A168)-ROW(A$163),0),"")</f>
      </c>
      <c r="H168" s="70">
        <f ca="1">IF(Feats!H$90&gt;=ROW(A168)-ROW(A$163),OFFSET(G$35,ROW(A168)-ROW(A$163),0),"")</f>
      </c>
      <c r="I168" s="70">
        <f ca="1">IF(Feats!H$157&gt;=ROW(A168)-ROW(A$163),OFFSET(I$22,ROW(A168)-ROW(A$163),0),"")</f>
      </c>
      <c r="J168" s="71">
        <f ca="1">IF(Feats!H$91&gt;=ROW(A168)-ROW(A$163),OFFSET(I$35,ROW(A168)-ROW(A$163),0),"")</f>
      </c>
      <c r="K168" s="83">
        <f t="shared" si="19"/>
      </c>
      <c r="L168" s="83">
        <f t="shared" si="20"/>
      </c>
      <c r="M168" s="1">
        <f ca="1">IF(Feats!H$122&gt;=ROW(A168)-ROW(A$163),OFFSET(K$22,ROW(A168)-ROW(A$163),0),"")</f>
      </c>
    </row>
    <row r="169" spans="1:13" ht="12.75">
      <c r="A169" s="69">
        <f ca="1">IF(Feats!H$80&gt;=ROW(A169)-ROW(A$163),OFFSET(A$22,ROW(A169)-ROW(A$163),0),"")</f>
      </c>
      <c r="B169" s="70">
        <f ca="1">IF(Feats!H$95&gt;=ROW(A169)-ROW(A$163),OFFSET(A$35,ROW(A169)-ROW(A$163),0),"")</f>
      </c>
      <c r="C169" s="70">
        <f ca="1">IF(Feats!H$114&gt;=ROW(A169)-ROW(A$163),OFFSET(C$22,ROW(A169)-ROW(A$163),0),"")</f>
      </c>
      <c r="D169" s="70">
        <f ca="1">IF(Feats!H$139&gt;=ROW(A169)-ROW(A$163),OFFSET(C$35,ROW(A169)-ROW(A$163),0),"")</f>
      </c>
      <c r="E169" s="70">
        <f ca="1">IF(Feats!H$141&gt;=ROW(A169)-ROW(A$163),OFFSET(E$22,ROW(A169)-ROW(A$163),0),"")</f>
      </c>
      <c r="F169" s="70">
        <f ca="1">IF(Feats!H$87&gt;=ROW(A169)-ROW(A$163),OFFSET(E$35,ROW(A169)-ROW(A$163),0),"")</f>
      </c>
      <c r="G169" s="70">
        <f ca="1">IF(Feats!H$156&gt;=ROW(A169)-ROW(A$163),OFFSET(G$22,ROW(A169)-ROW(A$163),0),"")</f>
      </c>
      <c r="H169" s="70">
        <f ca="1">IF(Feats!H$90&gt;=ROW(A169)-ROW(A$163),OFFSET(G$35,ROW(A169)-ROW(A$163),0),"")</f>
      </c>
      <c r="I169" s="70">
        <f ca="1">IF(Feats!H$157&gt;=ROW(A169)-ROW(A$163),OFFSET(I$22,ROW(A169)-ROW(A$163),0),"")</f>
      </c>
      <c r="J169" s="71">
        <f ca="1">IF(Feats!H$91&gt;=ROW(A169)-ROW(A$163),OFFSET(I$35,ROW(A169)-ROW(A$163),0),"")</f>
      </c>
      <c r="K169" s="83">
        <f t="shared" si="19"/>
      </c>
      <c r="L169" s="83">
        <f t="shared" si="20"/>
      </c>
      <c r="M169" s="1">
        <f ca="1">IF(Feats!H$122&gt;=ROW(A169)-ROW(A$163),OFFSET(K$22,ROW(A169)-ROW(A$163),0),"")</f>
      </c>
    </row>
    <row r="170" spans="1:13" ht="12.75">
      <c r="A170" s="69">
        <f ca="1">IF(Feats!H$80&gt;=ROW(A170)-ROW(A$163),OFFSET(A$22,ROW(A170)-ROW(A$163),0),"")</f>
      </c>
      <c r="B170" s="70">
        <f ca="1">IF(Feats!H$95&gt;=ROW(A170)-ROW(A$163),OFFSET(A$35,ROW(A170)-ROW(A$163),0),"")</f>
      </c>
      <c r="C170" s="70">
        <f ca="1">IF(Feats!H$114&gt;=ROW(A170)-ROW(A$163),OFFSET(C$22,ROW(A170)-ROW(A$163),0),"")</f>
      </c>
      <c r="D170" s="70">
        <f ca="1">IF(Feats!H$139&gt;=ROW(A170)-ROW(A$163),OFFSET(C$35,ROW(A170)-ROW(A$163),0),"")</f>
      </c>
      <c r="E170" s="70">
        <f ca="1">IF(Feats!H$141&gt;=ROW(A170)-ROW(A$163),OFFSET(E$22,ROW(A170)-ROW(A$163),0),"")</f>
      </c>
      <c r="F170" s="70">
        <f ca="1">IF(Feats!H$87&gt;=ROW(A170)-ROW(A$163),OFFSET(E$35,ROW(A170)-ROW(A$163),0),"")</f>
      </c>
      <c r="G170" s="70">
        <f ca="1">IF(Feats!H$156&gt;=ROW(A170)-ROW(A$163),OFFSET(G$22,ROW(A170)-ROW(A$163),0),"")</f>
      </c>
      <c r="H170" s="70">
        <f ca="1">IF(Feats!H$90&gt;=ROW(A170)-ROW(A$163),OFFSET(G$35,ROW(A170)-ROW(A$163),0),"")</f>
      </c>
      <c r="I170" s="70">
        <f ca="1">IF(Feats!H$157&gt;=ROW(A170)-ROW(A$163),OFFSET(I$22,ROW(A170)-ROW(A$163),0),"")</f>
      </c>
      <c r="J170" s="71">
        <f ca="1">IF(Feats!H$91&gt;=ROW(A170)-ROW(A$163),OFFSET(I$35,ROW(A170)-ROW(A$163),0),"")</f>
      </c>
      <c r="K170" s="83">
        <f t="shared" si="19"/>
      </c>
      <c r="L170" s="83">
        <f t="shared" si="20"/>
      </c>
      <c r="M170" s="1">
        <f ca="1">IF(Feats!H$122&gt;=ROW(A170)-ROW(A$163),OFFSET(K$22,ROW(A170)-ROW(A$163),0),"")</f>
      </c>
    </row>
    <row r="171" spans="1:13" ht="12.75">
      <c r="A171" s="69">
        <f ca="1">IF(Feats!H$80&gt;=ROW(A171)-ROW(A$163),OFFSET(A$22,ROW(A171)-ROW(A$163),0),"")</f>
      </c>
      <c r="B171" s="70">
        <f ca="1">IF(Feats!H$95&gt;=ROW(A171)-ROW(A$163),OFFSET(A$35,ROW(A171)-ROW(A$163),0),"")</f>
      </c>
      <c r="C171" s="70">
        <f ca="1">IF(Feats!H$114&gt;=ROW(A171)-ROW(A$163),OFFSET(C$22,ROW(A171)-ROW(A$163),0),"")</f>
      </c>
      <c r="D171" s="70">
        <f ca="1">IF(Feats!H$139&gt;=ROW(A171)-ROW(A$163),OFFSET(C$35,ROW(A171)-ROW(A$163),0),"")</f>
      </c>
      <c r="E171" s="70">
        <f ca="1">IF(Feats!H$141&gt;=ROW(A171)-ROW(A$163),OFFSET(E$22,ROW(A171)-ROW(A$163),0),"")</f>
      </c>
      <c r="F171" s="70">
        <f ca="1">IF(Feats!H$87&gt;=ROW(A171)-ROW(A$163),OFFSET(E$35,ROW(A171)-ROW(A$163),0),"")</f>
      </c>
      <c r="G171" s="70">
        <f ca="1">IF(Feats!H$156&gt;=ROW(A171)-ROW(A$163),OFFSET(G$22,ROW(A171)-ROW(A$163),0),"")</f>
      </c>
      <c r="H171" s="70">
        <f ca="1">IF(Feats!H$90&gt;=ROW(A171)-ROW(A$163),OFFSET(G$35,ROW(A171)-ROW(A$163),0),"")</f>
      </c>
      <c r="I171" s="70">
        <f ca="1">IF(Feats!H$157&gt;=ROW(A171)-ROW(A$163),OFFSET(I$22,ROW(A171)-ROW(A$163),0),"")</f>
      </c>
      <c r="J171" s="71">
        <f ca="1">IF(Feats!H$91&gt;=ROW(A171)-ROW(A$163),OFFSET(I$35,ROW(A171)-ROW(A$163),0),"")</f>
      </c>
      <c r="K171" s="83">
        <f t="shared" si="19"/>
      </c>
      <c r="L171" s="83">
        <f t="shared" si="20"/>
      </c>
      <c r="M171" s="1">
        <f ca="1">IF(Feats!H$122&gt;=ROW(A171)-ROW(A$163),OFFSET(K$22,ROW(A171)-ROW(A$163),0),"")</f>
      </c>
    </row>
    <row r="172" spans="1:13" ht="12.75">
      <c r="A172" s="69">
        <f ca="1">IF(Feats!H$80&gt;=ROW(A172)-ROW(A$163),OFFSET(A$22,ROW(A172)-ROW(A$163),0),"")</f>
      </c>
      <c r="B172" s="70">
        <f ca="1">IF(Feats!H$95&gt;=ROW(A172)-ROW(A$163),OFFSET(A$35,ROW(A172)-ROW(A$163),0),"")</f>
      </c>
      <c r="C172" s="70">
        <f ca="1">IF(Feats!H$114&gt;=ROW(A172)-ROW(A$163),OFFSET(C$22,ROW(A172)-ROW(A$163),0),"")</f>
      </c>
      <c r="D172" s="70">
        <f ca="1">IF(Feats!H$139&gt;=ROW(A172)-ROW(A$163),OFFSET(C$35,ROW(A172)-ROW(A$163),0),"")</f>
      </c>
      <c r="E172" s="70">
        <f ca="1">IF(Feats!H$141&gt;=ROW(A172)-ROW(A$163),OFFSET(E$22,ROW(A172)-ROW(A$163),0),"")</f>
      </c>
      <c r="F172" s="70">
        <f ca="1">IF(Feats!H$87&gt;=ROW(A172)-ROW(A$163),OFFSET(E$35,ROW(A172)-ROW(A$163),0),"")</f>
      </c>
      <c r="G172" s="70">
        <f ca="1">IF(Feats!H$156&gt;=ROW(A172)-ROW(A$163),OFFSET(G$22,ROW(A172)-ROW(A$163),0),"")</f>
      </c>
      <c r="H172" s="70">
        <f ca="1">IF(Feats!H$90&gt;=ROW(A172)-ROW(A$163),OFFSET(G$35,ROW(A172)-ROW(A$163),0),"")</f>
      </c>
      <c r="I172" s="70">
        <f ca="1">IF(Feats!H$157&gt;=ROW(A172)-ROW(A$163),OFFSET(I$22,ROW(A172)-ROW(A$163),0),"")</f>
      </c>
      <c r="J172" s="71">
        <f ca="1">IF(Feats!H$91&gt;=ROW(A172)-ROW(A$163),OFFSET(I$35,ROW(A172)-ROW(A$163),0),"")</f>
      </c>
      <c r="K172" s="83">
        <f t="shared" si="19"/>
      </c>
      <c r="L172" s="83">
        <f>IF(LEN(A15)&gt;0,B15,"")</f>
      </c>
      <c r="M172" s="1">
        <f ca="1">IF(Feats!H$122&gt;=ROW(A172)-ROW(A$163),OFFSET(K$22,ROW(A172)-ROW(A$163),0),"")</f>
      </c>
    </row>
    <row r="173" spans="1:13" ht="12.75">
      <c r="A173" s="69">
        <f ca="1">IF(Feats!H$80&gt;=ROW(A173)-ROW(A$163),OFFSET(A$22,ROW(A173)-ROW(A$163),0),"")</f>
      </c>
      <c r="B173" s="70">
        <f ca="1">IF(Feats!H$95&gt;=ROW(A173)-ROW(A$163),OFFSET(A$35,ROW(A173)-ROW(A$163),0),"")</f>
      </c>
      <c r="C173" s="70">
        <f ca="1">IF(Feats!H$114&gt;=ROW(A173)-ROW(A$163),OFFSET(C$22,ROW(A173)-ROW(A$163),0),"")</f>
      </c>
      <c r="D173" s="70">
        <f ca="1">IF(Feats!H$139&gt;=ROW(A173)-ROW(A$163),OFFSET(C$35,ROW(A173)-ROW(A$163),0),"")</f>
      </c>
      <c r="E173" s="70">
        <f ca="1">IF(Feats!H$141&gt;=ROW(A173)-ROW(A$163),OFFSET(E$22,ROW(A173)-ROW(A$163),0),"")</f>
      </c>
      <c r="F173" s="70">
        <f ca="1">IF(Feats!H$87&gt;=ROW(A173)-ROW(A$163),OFFSET(E$35,ROW(A173)-ROW(A$163),0),"")</f>
      </c>
      <c r="G173" s="70">
        <f ca="1">IF(Feats!H$156&gt;=ROW(A173)-ROW(A$163),OFFSET(G$22,ROW(A173)-ROW(A$163),0),"")</f>
      </c>
      <c r="H173" s="70">
        <f ca="1">IF(Feats!H$90&gt;=ROW(A173)-ROW(A$163),OFFSET(G$35,ROW(A173)-ROW(A$163),0),"")</f>
      </c>
      <c r="I173" s="70">
        <f ca="1">IF(Feats!H$157&gt;=ROW(A173)-ROW(A$163),OFFSET(I$22,ROW(A173)-ROW(A$163),0),"")</f>
      </c>
      <c r="J173" s="71">
        <f ca="1">IF(Feats!H$91&gt;=ROW(A173)-ROW(A$163),OFFSET(I$35,ROW(A173)-ROW(A$163),0),"")</f>
      </c>
      <c r="K173" s="83">
        <f t="shared" si="19"/>
      </c>
      <c r="L173" s="83">
        <f>IF(LEN(A16)&gt;0,B16,"")</f>
      </c>
      <c r="M173" s="1">
        <f ca="1">IF(Feats!H$122&gt;=ROW(A173)-ROW(A$163),OFFSET(K$22,ROW(A173)-ROW(A$163),0),"")</f>
      </c>
    </row>
    <row r="174" spans="1:13" ht="12.75">
      <c r="A174" s="69">
        <f ca="1">IF(Feats!H$80&gt;=ROW(A174)-ROW(A$163),OFFSET(A$22,ROW(A174)-ROW(A$163),0),"")</f>
      </c>
      <c r="B174" s="70">
        <f ca="1">IF(Feats!H$95&gt;=ROW(A174)-ROW(A$163),OFFSET(A$35,ROW(A174)-ROW(A$163),0),"")</f>
      </c>
      <c r="C174" s="70">
        <f ca="1">IF(Feats!H$114&gt;=ROW(A174)-ROW(A$163),OFFSET(C$22,ROW(A174)-ROW(A$163),0),"")</f>
      </c>
      <c r="D174" s="70">
        <f ca="1">IF(Feats!H$139&gt;=ROW(A174)-ROW(A$163),OFFSET(C$35,ROW(A174)-ROW(A$163),0),"")</f>
      </c>
      <c r="E174" s="70">
        <f ca="1">IF(Feats!H$141&gt;=ROW(A174)-ROW(A$163),OFFSET(E$22,ROW(A174)-ROW(A$163),0),"")</f>
      </c>
      <c r="F174" s="70">
        <f ca="1">IF(Feats!H$87&gt;=ROW(A174)-ROW(A$163),OFFSET(E$35,ROW(A174)-ROW(A$163),0),"")</f>
      </c>
      <c r="G174" s="70">
        <f ca="1">IF(Feats!H$156&gt;=ROW(A174)-ROW(A$163),OFFSET(G$22,ROW(A174)-ROW(A$163),0),"")</f>
      </c>
      <c r="H174" s="70">
        <f ca="1">IF(Feats!H$90&gt;=ROW(A174)-ROW(A$163),OFFSET(G$35,ROW(A174)-ROW(A$163),0),"")</f>
      </c>
      <c r="I174" s="70">
        <f ca="1">IF(Feats!H$157&gt;=ROW(A174)-ROW(A$163),OFFSET(I$22,ROW(A174)-ROW(A$163),0),"")</f>
      </c>
      <c r="J174" s="71">
        <f ca="1">IF(Feats!H$91&gt;=ROW(A174)-ROW(A$163),OFFSET(I$35,ROW(A174)-ROW(A$163),0),"")</f>
      </c>
      <c r="K174" s="83">
        <f t="shared" si="19"/>
      </c>
      <c r="L174" s="83">
        <f>IF(LEN(A17)&gt;0,B17,"")</f>
      </c>
      <c r="M174" s="1">
        <f ca="1">IF(Feats!H$122&gt;=ROW(A174)-ROW(A$163),OFFSET(K$22,ROW(A174)-ROW(A$163),0),"")</f>
      </c>
    </row>
    <row r="175" spans="1:13" ht="12.75">
      <c r="A175" s="72">
        <f ca="1">IF(Feats!H$80&gt;=ROW(A175)-ROW(A$163),OFFSET(A$22,ROW(A175)-ROW(A$163),0),"")</f>
      </c>
      <c r="B175" s="73">
        <f ca="1">IF(Feats!H$95&gt;=ROW(A175)-ROW(A$163),OFFSET(A$35,ROW(A175)-ROW(A$163),0),"")</f>
      </c>
      <c r="C175" s="73">
        <f ca="1">IF(Feats!H$114&gt;=ROW(A175)-ROW(A$163),OFFSET(C$22,ROW(A175)-ROW(A$163),0),"")</f>
      </c>
      <c r="D175" s="73">
        <f ca="1">IF(Feats!H$139&gt;=ROW(A175)-ROW(A$163),OFFSET(C$35,ROW(A175)-ROW(A$163),0),"")</f>
      </c>
      <c r="E175" s="73">
        <f ca="1">IF(Feats!H$141&gt;=ROW(A175)-ROW(A$163),OFFSET(E$22,ROW(A175)-ROW(A$163),0),"")</f>
      </c>
      <c r="F175" s="73">
        <f ca="1">IF(Feats!H$87&gt;=ROW(A175)-ROW(A$163),OFFSET(E$35,ROW(A175)-ROW(A$163),0),"")</f>
      </c>
      <c r="G175" s="73">
        <f ca="1">IF(Feats!H$156&gt;=ROW(A175)-ROW(A$163),OFFSET(G$22,ROW(A175)-ROW(A$163),0),"")</f>
      </c>
      <c r="H175" s="73">
        <f ca="1">IF(Feats!H$90&gt;=ROW(A175)-ROW(A$163),OFFSET(G$35,ROW(A175)-ROW(A$163),0),"")</f>
      </c>
      <c r="I175" s="73">
        <f ca="1">IF(Feats!H$157&gt;=ROW(A175)-ROW(A$163),OFFSET(I$22,ROW(A175)-ROW(A$163),0),"")</f>
      </c>
      <c r="J175" s="74">
        <f ca="1">IF(Feats!H$91&gt;=ROW(A175)-ROW(A$163),OFFSET(I$35,ROW(A175)-ROW(A$163),0),"")</f>
      </c>
      <c r="K175" s="84">
        <f t="shared" si="19"/>
      </c>
      <c r="L175" s="83">
        <f>IF(LEN(A18)&gt;0,B18,"")</f>
      </c>
      <c r="M175" s="1">
        <f ca="1">IF(Feats!H$122&gt;=ROW(A175)-ROW(A$163),OFFSET(K$22,ROW(A175)-ROW(A$163),0),"")</f>
      </c>
    </row>
    <row r="176" spans="1:12" ht="12.75">
      <c r="A176" s="66">
        <f>IF(COUNTIF(A164:A175,"Dw. urgrosh")&gt;0,"Dw. urgrosh (axe)","")</f>
      </c>
      <c r="B176" s="67">
        <f>IF(COUNTIF(B164:B175,"Dw. urgrosh")&gt;0,"Dw. urgrosh (axe)","")</f>
      </c>
      <c r="C176" s="67"/>
      <c r="D176" s="67"/>
      <c r="E176" s="67"/>
      <c r="F176" s="67"/>
      <c r="G176" s="67">
        <f>IF(COUNTIF(G164:G175,"Dw. urgrosh")&gt;0,"Dw. urgrosh (axe)","")</f>
      </c>
      <c r="H176" s="67">
        <f>IF(COUNTIF(H164:H175,"Dw. urgrosh")&gt;0,"Dw. urgrosh (axe)","")</f>
      </c>
      <c r="I176" s="67">
        <f>IF(COUNTIF(I164:I175,"Dw. urgrosh")&gt;0,"Dw. urgrosh (axe)","")</f>
      </c>
      <c r="J176" s="68">
        <f>IF(COUNTIF(J164:J175,"Dw. urgrosh")&gt;0,"Dw. urgrosh (axe)","")</f>
      </c>
      <c r="K176" s="1">
        <f>IF(COUNTIF(I$164:I$173,H176)&gt;0,IF(LEN(H176)&gt;0,H176,""),"")</f>
      </c>
      <c r="L176" s="83">
        <f aca="true" t="shared" si="21" ref="L176:L186">IF(LEN(D6)&gt;0,E6,"")</f>
      </c>
    </row>
    <row r="177" spans="1:12" ht="12.75">
      <c r="A177" s="69">
        <f>IF(COUNTIF(A164:A175,"Dw. urgrosh")&gt;0,"Dw. urgrosh (spear)","")</f>
      </c>
      <c r="B177" s="70">
        <f>IF(COUNTIF(B164:B175,"Dw. urgrosh")&gt;0,"Dw. urgrosh (spear)","")</f>
      </c>
      <c r="C177" s="70"/>
      <c r="D177" s="70"/>
      <c r="E177" s="70"/>
      <c r="F177" s="70"/>
      <c r="G177" s="70">
        <f>IF(COUNTIF(G164:G175,"Dw. urgrosh")&gt;0,"Dw. urgrosh (spear)","")</f>
      </c>
      <c r="H177" s="70">
        <f>IF(COUNTIF(H164:H175,"Dw. urgrosh")&gt;0,"Dw. urgrosh (spear)","")</f>
      </c>
      <c r="I177" s="70">
        <f>IF(COUNTIF(I164:I175,"Dw. urgrosh")&gt;0,"Dw. urgrosh (spear)","")</f>
      </c>
      <c r="J177" s="71">
        <f>IF(COUNTIF(J164:J175,"Dw. urgrosh")&gt;0,"Dw. urgrosh (spear)","")</f>
      </c>
      <c r="L177" s="83">
        <f t="shared" si="21"/>
      </c>
    </row>
    <row r="178" spans="1:12" ht="12.75">
      <c r="A178" s="69">
        <f>IF(COUNTIF(A164:A175,"Gn. hooked hammer")&gt;0,"Gn. hooked hammer (hammer)","")</f>
      </c>
      <c r="B178" s="70">
        <f>IF(COUNTIF(B164:B175,"Gn. hooked hammer")&gt;0,"Gn. hooked hammer (hammer)","")</f>
      </c>
      <c r="C178" s="70"/>
      <c r="D178" s="70"/>
      <c r="E178" s="70"/>
      <c r="F178" s="70"/>
      <c r="G178" s="70">
        <f>IF(COUNTIF(G164:G175,"Gn. hooked hammer")&gt;0,"Gn. hooked hammer (hammer)","")</f>
      </c>
      <c r="H178" s="70">
        <f>IF(COUNTIF(H164:H175,"Gn. hooked hammer")&gt;0,"Gn. hooked hammer (hammer)","")</f>
      </c>
      <c r="I178" s="70">
        <f>IF(COUNTIF(I164:I175,"Gn. hooked hammer")&gt;0,"Gn. hooked hammer (hammer)","")</f>
      </c>
      <c r="J178" s="71">
        <f>IF(COUNTIF(J164:J175,"Gn. hooked hammer")&gt;0,"Gn. hooked hammer (hammer)","")</f>
      </c>
      <c r="L178" s="83">
        <f t="shared" si="21"/>
      </c>
    </row>
    <row r="179" spans="1:12" ht="12.75">
      <c r="A179" s="69">
        <f>IF(COUNTIF(A164:A175,"Gn. hooked hammer")&gt;0,"Gn. hooked hammer (hook)","")</f>
      </c>
      <c r="B179" s="70">
        <f>IF(COUNTIF(B164:B175,"Gn. hooked hammer")&gt;0,"Gn. hooked hammer (hook)","")</f>
      </c>
      <c r="C179" s="70"/>
      <c r="D179" s="70"/>
      <c r="E179" s="70"/>
      <c r="F179" s="70"/>
      <c r="G179" s="70">
        <f>IF(COUNTIF(G164:G175,"Gn. hooked hammer")&gt;0,"Gn. hooked hammer (hook)","")</f>
      </c>
      <c r="H179" s="70">
        <f>IF(COUNTIF(H164:H175,"Gn. hooked hammer")&gt;0,"Gn. hooked hammer (hook)","")</f>
      </c>
      <c r="I179" s="70">
        <f>IF(COUNTIF(I164:I175,"Gn. hooked hammer")&gt;0,"Gn. hooked hammer (hook)","")</f>
      </c>
      <c r="J179" s="71">
        <f>IF(COUNTIF(J164:J175,"Gn. hooked hammer")&gt;0,"Gn. hooked hammer (hook)","")</f>
      </c>
      <c r="L179" s="83">
        <f t="shared" si="21"/>
      </c>
    </row>
    <row r="180" spans="1:12" ht="12.75">
      <c r="A180" s="69"/>
      <c r="B180" s="70">
        <f>IF(COUNTIF(B164:B175,"Longbow")&gt;0,"Composite longbow","")</f>
      </c>
      <c r="C180" s="70">
        <f>IF(COUNTIF(C164:C175,"Longbow")&gt;0,"Composite longbow","")</f>
      </c>
      <c r="D180" s="70"/>
      <c r="E180" s="70"/>
      <c r="F180" s="70"/>
      <c r="G180" s="70">
        <f>IF(COUNTIF(G164:G175,"Longbow")&gt;0,"Composite longbow","")</f>
      </c>
      <c r="H180" s="70">
        <f>IF(COUNTIF(H164:H175,"Longbow")&gt;0,"Composite longbow","")</f>
      </c>
      <c r="I180" s="70">
        <f>IF(COUNTIF(I164:I175,"Longbow")&gt;0,"Composite longbow","")</f>
      </c>
      <c r="J180" s="71">
        <f>IF(COUNTIF(J164:J175,"Longbow")&gt;0,"Composite longbow","")</f>
      </c>
      <c r="L180" s="83">
        <f t="shared" si="21"/>
      </c>
    </row>
    <row r="181" spans="1:12" ht="12.75">
      <c r="A181" s="72"/>
      <c r="B181" s="73">
        <f>IF(COUNTIF(B164:B175,"Shortbow")&gt;0,"Composite shortbow","")</f>
      </c>
      <c r="C181" s="73">
        <f>IF(COUNTIF(C164:C175,"Shortbow")&gt;0,"Composite shortbow","")</f>
      </c>
      <c r="D181" s="73"/>
      <c r="E181" s="73"/>
      <c r="F181" s="73"/>
      <c r="G181" s="73">
        <f>IF(COUNTIF(G164:G175,"Shortbow")&gt;0,"Composite shortbow","")</f>
      </c>
      <c r="H181" s="73">
        <f>IF(COUNTIF(H164:H175,"Shortbow")&gt;0,"Composite shortbow","")</f>
      </c>
      <c r="I181" s="73">
        <f>IF(COUNTIF(I164:I175,"Shortbow")&gt;0,"Composite shortbow","")</f>
      </c>
      <c r="J181" s="74">
        <f>IF(COUNTIF(J164:J175,"Shortbow")&gt;0,"Composite shortbow","")</f>
      </c>
      <c r="L181" s="83">
        <f t="shared" si="21"/>
      </c>
    </row>
    <row r="182" ht="12.75">
      <c r="L182" s="83">
        <f t="shared" si="21"/>
      </c>
    </row>
    <row r="183" ht="12.75">
      <c r="L183" s="83">
        <f t="shared" si="21"/>
      </c>
    </row>
    <row r="184" ht="12.75">
      <c r="L184" s="83">
        <f t="shared" si="21"/>
      </c>
    </row>
    <row r="185" ht="12.75">
      <c r="L185" s="83">
        <f t="shared" si="21"/>
      </c>
    </row>
    <row r="186" ht="12.75">
      <c r="L186" s="83">
        <f t="shared" si="21"/>
      </c>
    </row>
    <row r="187" ht="12.75">
      <c r="L187" s="83">
        <f>IF(LEN(G6)&gt;0,H6,"")</f>
      </c>
    </row>
    <row r="188" ht="12.75">
      <c r="L188" s="83">
        <f>IF(LEN(G7)&gt;0,H7,"")</f>
      </c>
    </row>
    <row r="189" ht="12.75">
      <c r="L189" s="83">
        <f>IF(LEN(G8)&gt;0,H8,"")</f>
      </c>
    </row>
    <row r="190" ht="12.75">
      <c r="L190" s="84">
        <f>IF(LEN(G9)&gt;0,H9,"")</f>
      </c>
    </row>
  </sheetData>
  <sheetProtection sheet="1" objects="1" scenarios="1"/>
  <mergeCells count="294">
    <mergeCell ref="K34:L34"/>
    <mergeCell ref="K30:L30"/>
    <mergeCell ref="K31:L31"/>
    <mergeCell ref="K32:L32"/>
    <mergeCell ref="K33:L33"/>
    <mergeCell ref="K26:L26"/>
    <mergeCell ref="K27:L27"/>
    <mergeCell ref="K28:L28"/>
    <mergeCell ref="K29:L29"/>
    <mergeCell ref="K22:L22"/>
    <mergeCell ref="K23:L23"/>
    <mergeCell ref="K24:L24"/>
    <mergeCell ref="K25:L25"/>
    <mergeCell ref="A158:B158"/>
    <mergeCell ref="A159:B159"/>
    <mergeCell ref="A48:B48"/>
    <mergeCell ref="G5:I5"/>
    <mergeCell ref="H6:I6"/>
    <mergeCell ref="H7:I7"/>
    <mergeCell ref="H8:I8"/>
    <mergeCell ref="H9:I9"/>
    <mergeCell ref="A20:J20"/>
    <mergeCell ref="I48:K48"/>
    <mergeCell ref="A154:B154"/>
    <mergeCell ref="A155:B155"/>
    <mergeCell ref="A156:B156"/>
    <mergeCell ref="A157:B157"/>
    <mergeCell ref="A150:B150"/>
    <mergeCell ref="A151:B151"/>
    <mergeCell ref="A152:B152"/>
    <mergeCell ref="A153:B153"/>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121:B121"/>
    <mergeCell ref="A123:B123"/>
    <mergeCell ref="A124:B124"/>
    <mergeCell ref="A125:B125"/>
    <mergeCell ref="A122:B122"/>
    <mergeCell ref="A117:B117"/>
    <mergeCell ref="A118:B118"/>
    <mergeCell ref="A119:B119"/>
    <mergeCell ref="A120:B120"/>
    <mergeCell ref="A113:B113"/>
    <mergeCell ref="A114:B114"/>
    <mergeCell ref="A115:B115"/>
    <mergeCell ref="A116:B116"/>
    <mergeCell ref="A109:B109"/>
    <mergeCell ref="A110:B110"/>
    <mergeCell ref="A111:B111"/>
    <mergeCell ref="A112:B112"/>
    <mergeCell ref="A105:B105"/>
    <mergeCell ref="A106:B106"/>
    <mergeCell ref="A107:B107"/>
    <mergeCell ref="A108:B108"/>
    <mergeCell ref="A101:B101"/>
    <mergeCell ref="A102:B102"/>
    <mergeCell ref="A103:B103"/>
    <mergeCell ref="A104:B104"/>
    <mergeCell ref="A97:B97"/>
    <mergeCell ref="A98:B98"/>
    <mergeCell ref="A99:B99"/>
    <mergeCell ref="A100:B100"/>
    <mergeCell ref="A93:B93"/>
    <mergeCell ref="A94:B94"/>
    <mergeCell ref="A95:B95"/>
    <mergeCell ref="A96:B96"/>
    <mergeCell ref="A89:B89"/>
    <mergeCell ref="A90:B90"/>
    <mergeCell ref="A91:B91"/>
    <mergeCell ref="A92:B92"/>
    <mergeCell ref="A85:B85"/>
    <mergeCell ref="A86:B86"/>
    <mergeCell ref="A87:B87"/>
    <mergeCell ref="A88:B88"/>
    <mergeCell ref="A81:B81"/>
    <mergeCell ref="A82:B82"/>
    <mergeCell ref="A83:B83"/>
    <mergeCell ref="A84:B84"/>
    <mergeCell ref="A77:B77"/>
    <mergeCell ref="A78:B78"/>
    <mergeCell ref="A79:B79"/>
    <mergeCell ref="A80:B80"/>
    <mergeCell ref="A73:B73"/>
    <mergeCell ref="A74:B74"/>
    <mergeCell ref="A75:B75"/>
    <mergeCell ref="A76:B76"/>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49:B49"/>
    <mergeCell ref="A50:B50"/>
    <mergeCell ref="A51:B51"/>
    <mergeCell ref="A52:B52"/>
    <mergeCell ref="A53:B53"/>
    <mergeCell ref="A54:B54"/>
    <mergeCell ref="A55:B55"/>
    <mergeCell ref="A56:B56"/>
    <mergeCell ref="L48:N48"/>
    <mergeCell ref="O48:Q48"/>
    <mergeCell ref="I22:J22"/>
    <mergeCell ref="A35:B35"/>
    <mergeCell ref="C35:D35"/>
    <mergeCell ref="E35:F35"/>
    <mergeCell ref="G35:H35"/>
    <mergeCell ref="I35:J35"/>
    <mergeCell ref="A22:B22"/>
    <mergeCell ref="C22:D22"/>
    <mergeCell ref="E22:F22"/>
    <mergeCell ref="G22:H22"/>
    <mergeCell ref="E14:F14"/>
    <mergeCell ref="E15:F15"/>
    <mergeCell ref="E16:F16"/>
    <mergeCell ref="A21:J21"/>
    <mergeCell ref="B15:C15"/>
    <mergeCell ref="B16:C16"/>
    <mergeCell ref="B17:C17"/>
    <mergeCell ref="B18:C18"/>
    <mergeCell ref="E10:F10"/>
    <mergeCell ref="E11:F11"/>
    <mergeCell ref="E12:F12"/>
    <mergeCell ref="E13:F13"/>
    <mergeCell ref="E6:F6"/>
    <mergeCell ref="E7:F7"/>
    <mergeCell ref="E8:F8"/>
    <mergeCell ref="E9:F9"/>
    <mergeCell ref="B10:C10"/>
    <mergeCell ref="B11:C11"/>
    <mergeCell ref="B12:C12"/>
    <mergeCell ref="A14:C14"/>
    <mergeCell ref="B6:C6"/>
    <mergeCell ref="B7:C7"/>
    <mergeCell ref="B8:C8"/>
    <mergeCell ref="B9:C9"/>
    <mergeCell ref="A3:B3"/>
    <mergeCell ref="D1:E1"/>
    <mergeCell ref="D2:E2"/>
    <mergeCell ref="A5:C5"/>
    <mergeCell ref="D5:F5"/>
    <mergeCell ref="A23:B23"/>
    <mergeCell ref="A24:B24"/>
    <mergeCell ref="A25:B25"/>
    <mergeCell ref="A26:B26"/>
    <mergeCell ref="A27:B27"/>
    <mergeCell ref="A28:B28"/>
    <mergeCell ref="A29:B29"/>
    <mergeCell ref="A30:B30"/>
    <mergeCell ref="A31:B31"/>
    <mergeCell ref="A32:B32"/>
    <mergeCell ref="A33:B33"/>
    <mergeCell ref="A34:B34"/>
    <mergeCell ref="C23:D23"/>
    <mergeCell ref="C24:D24"/>
    <mergeCell ref="C25:D25"/>
    <mergeCell ref="C26:D26"/>
    <mergeCell ref="C27:D27"/>
    <mergeCell ref="C28:D28"/>
    <mergeCell ref="C29:D29"/>
    <mergeCell ref="C30:D30"/>
    <mergeCell ref="C31:D31"/>
    <mergeCell ref="C32:D32"/>
    <mergeCell ref="C33:D33"/>
    <mergeCell ref="C34:D34"/>
    <mergeCell ref="E23:F23"/>
    <mergeCell ref="E24:F24"/>
    <mergeCell ref="E25:F25"/>
    <mergeCell ref="E26:F26"/>
    <mergeCell ref="E27:F27"/>
    <mergeCell ref="E28:F28"/>
    <mergeCell ref="E29:F29"/>
    <mergeCell ref="E30:F30"/>
    <mergeCell ref="E31:F31"/>
    <mergeCell ref="E32:F32"/>
    <mergeCell ref="E33:F33"/>
    <mergeCell ref="E34:F34"/>
    <mergeCell ref="G23:H23"/>
    <mergeCell ref="G24:H24"/>
    <mergeCell ref="G25:H25"/>
    <mergeCell ref="G26:H26"/>
    <mergeCell ref="G27:H27"/>
    <mergeCell ref="G28:H28"/>
    <mergeCell ref="G29:H29"/>
    <mergeCell ref="G30:H30"/>
    <mergeCell ref="G31:H31"/>
    <mergeCell ref="G32:H32"/>
    <mergeCell ref="G33:H33"/>
    <mergeCell ref="G34:H34"/>
    <mergeCell ref="I23:J23"/>
    <mergeCell ref="I24:J24"/>
    <mergeCell ref="I25:J25"/>
    <mergeCell ref="I26:J26"/>
    <mergeCell ref="I27:J27"/>
    <mergeCell ref="I28:J28"/>
    <mergeCell ref="I29:J29"/>
    <mergeCell ref="I30:J30"/>
    <mergeCell ref="I31:J31"/>
    <mergeCell ref="I32:J32"/>
    <mergeCell ref="I33:J33"/>
    <mergeCell ref="I34:J34"/>
    <mergeCell ref="A36:B36"/>
    <mergeCell ref="A37:B37"/>
    <mergeCell ref="A38:B38"/>
    <mergeCell ref="A39:B39"/>
    <mergeCell ref="A40:B40"/>
    <mergeCell ref="A41:B41"/>
    <mergeCell ref="A42:B42"/>
    <mergeCell ref="A43:B43"/>
    <mergeCell ref="A44:B44"/>
    <mergeCell ref="A45:B45"/>
    <mergeCell ref="A46:B46"/>
    <mergeCell ref="A47:B47"/>
    <mergeCell ref="C36:D36"/>
    <mergeCell ref="C37:D37"/>
    <mergeCell ref="C38:D38"/>
    <mergeCell ref="C39:D39"/>
    <mergeCell ref="C40:D40"/>
    <mergeCell ref="C41:D41"/>
    <mergeCell ref="C42:D42"/>
    <mergeCell ref="C43:D43"/>
    <mergeCell ref="C44:D44"/>
    <mergeCell ref="C45:D45"/>
    <mergeCell ref="C46:D46"/>
    <mergeCell ref="C47:D47"/>
    <mergeCell ref="E36:F36"/>
    <mergeCell ref="E37:F37"/>
    <mergeCell ref="E38:F38"/>
    <mergeCell ref="E39:F39"/>
    <mergeCell ref="E45:F45"/>
    <mergeCell ref="E46:F46"/>
    <mergeCell ref="E47:F47"/>
    <mergeCell ref="E40:F40"/>
    <mergeCell ref="E41:F41"/>
    <mergeCell ref="E42:F42"/>
    <mergeCell ref="E43:F43"/>
    <mergeCell ref="G36:H36"/>
    <mergeCell ref="G37:H37"/>
    <mergeCell ref="G38:H38"/>
    <mergeCell ref="G39:H39"/>
    <mergeCell ref="G40:H40"/>
    <mergeCell ref="G41:H41"/>
    <mergeCell ref="G42:H42"/>
    <mergeCell ref="G43:H43"/>
    <mergeCell ref="I36:J36"/>
    <mergeCell ref="I37:J37"/>
    <mergeCell ref="I38:J38"/>
    <mergeCell ref="I39:J39"/>
    <mergeCell ref="I40:J40"/>
    <mergeCell ref="I41:J41"/>
    <mergeCell ref="I42:J42"/>
    <mergeCell ref="I43:J43"/>
    <mergeCell ref="A162:J162"/>
    <mergeCell ref="I44:J44"/>
    <mergeCell ref="I45:J45"/>
    <mergeCell ref="I46:J46"/>
    <mergeCell ref="I47:J47"/>
    <mergeCell ref="G44:H44"/>
    <mergeCell ref="G45:H45"/>
    <mergeCell ref="G46:H46"/>
    <mergeCell ref="G47:H47"/>
    <mergeCell ref="E44:F44"/>
  </mergeCells>
  <conditionalFormatting sqref="D2:E2">
    <cfRule type="expression" priority="1" dxfId="1" stopIfTrue="1">
      <formula>Race="Human"</formula>
    </cfRule>
  </conditionalFormatting>
  <conditionalFormatting sqref="B6:C12 B15:C18">
    <cfRule type="expression" priority="2" dxfId="1" stopIfTrue="1">
      <formula>LEN($A6)&gt;0</formula>
    </cfRule>
  </conditionalFormatting>
  <conditionalFormatting sqref="E6:F16">
    <cfRule type="expression" priority="3" dxfId="1" stopIfTrue="1">
      <formula>LEN($D6)&gt;0</formula>
    </cfRule>
  </conditionalFormatting>
  <conditionalFormatting sqref="H6:I9">
    <cfRule type="expression" priority="4" dxfId="1" stopIfTrue="1">
      <formula>LEN($G6)&gt;0</formula>
    </cfRule>
  </conditionalFormatting>
  <conditionalFormatting sqref="A24:B34">
    <cfRule type="expression" priority="5" dxfId="1" stopIfTrue="1">
      <formula>ROW(A24)&lt;=ROW(A$22)+$H$80</formula>
    </cfRule>
  </conditionalFormatting>
  <conditionalFormatting sqref="C23:D34">
    <cfRule type="expression" priority="6" dxfId="1" stopIfTrue="1">
      <formula>ROW(C23)&lt;=ROW(C$22)+$H$114</formula>
    </cfRule>
  </conditionalFormatting>
  <conditionalFormatting sqref="A36:B47">
    <cfRule type="expression" priority="7" dxfId="1" stopIfTrue="1">
      <formula>ROW(A36)&lt;=ROW(A$35)+$H$95</formula>
    </cfRule>
  </conditionalFormatting>
  <conditionalFormatting sqref="E36:F47">
    <cfRule type="expression" priority="8" dxfId="1" stopIfTrue="1">
      <formula>ROW(E36)&lt;=ROW(E$35)+$H$87</formula>
    </cfRule>
  </conditionalFormatting>
  <conditionalFormatting sqref="G36:H47">
    <cfRule type="expression" priority="9" dxfId="1" stopIfTrue="1">
      <formula>ROW(G36)&lt;=ROW(G$35)+$H$90</formula>
    </cfRule>
  </conditionalFormatting>
  <conditionalFormatting sqref="I36:J47">
    <cfRule type="expression" priority="10" dxfId="1" stopIfTrue="1">
      <formula>ROW(I36)&lt;=ROW(I$35)+$H$91</formula>
    </cfRule>
  </conditionalFormatting>
  <conditionalFormatting sqref="K23:L34">
    <cfRule type="expression" priority="11" dxfId="1" stopIfTrue="1">
      <formula>ROW(K23)&lt;=ROW(K$22)+$H$122</formula>
    </cfRule>
  </conditionalFormatting>
  <conditionalFormatting sqref="G23:H34">
    <cfRule type="expression" priority="12" dxfId="1" stopIfTrue="1">
      <formula>ROW(G23)&lt;=ROW(G$22)+$H$156</formula>
    </cfRule>
  </conditionalFormatting>
  <conditionalFormatting sqref="I23:J34">
    <cfRule type="expression" priority="13" dxfId="1" stopIfTrue="1">
      <formula>ROW(I23)&lt;=ROW(I$22)+$H$157</formula>
    </cfRule>
  </conditionalFormatting>
  <conditionalFormatting sqref="E23:F34">
    <cfRule type="expression" priority="14" dxfId="1" stopIfTrue="1">
      <formula>ROW(E23)&lt;=ROW(E$22)+$H$141</formula>
    </cfRule>
  </conditionalFormatting>
  <conditionalFormatting sqref="C36:D47">
    <cfRule type="expression" priority="15" dxfId="1" stopIfTrue="1">
      <formula>ROW(C36)&lt;=ROW(C$35)+$H$139</formula>
    </cfRule>
  </conditionalFormatting>
  <conditionalFormatting sqref="A23:B23">
    <cfRule type="expression" priority="16" dxfId="1" stopIfTrue="1">
      <formula>ROW(A23)&lt;=ROW(A$22)+$H$80</formula>
    </cfRule>
  </conditionalFormatting>
  <dataValidations count="11">
    <dataValidation type="list" allowBlank="1" showInputMessage="1" showErrorMessage="1" sqref="D2:E2 B6:C12 H6:I9">
      <formula1>EligibleFeats</formula1>
    </dataValidation>
    <dataValidation type="list" allowBlank="1" showInputMessage="1" showErrorMessage="1" sqref="B15:C18">
      <formula1>WizFeats</formula1>
    </dataValidation>
    <dataValidation type="list" allowBlank="1" showInputMessage="1" showErrorMessage="1" sqref="E6:F16">
      <formula1>FtrFeats</formula1>
    </dataValidation>
    <dataValidation type="list" allowBlank="1" showInputMessage="1" showErrorMessage="1" sqref="C36:D47">
      <formula1>Skills</formula1>
    </dataValidation>
    <dataValidation type="list" allowBlank="1" showInputMessage="1" showErrorMessage="1" sqref="C23:D34">
      <formula1>MartialWs</formula1>
    </dataValidation>
    <dataValidation type="list" allowBlank="1" showInputMessage="1" showErrorMessage="1" sqref="A23:B34">
      <formula1>ExoticWs</formula1>
    </dataValidation>
    <dataValidation type="list" allowBlank="1" showInputMessage="1" showErrorMessage="1" sqref="E23:F34">
      <formula1>Magics</formula1>
    </dataValidation>
    <dataValidation type="list" allowBlank="1" showInputMessage="1" showErrorMessage="1" sqref="G23:H34 A36:B47">
      <formula1>PWeapons</formula1>
    </dataValidation>
    <dataValidation type="list" allowBlank="1" showInputMessage="1" showErrorMessage="1" sqref="I23:J34 G36:H47">
      <formula1>$G$164:$G$175</formula1>
    </dataValidation>
    <dataValidation type="list" allowBlank="1" showInputMessage="1" showErrorMessage="1" sqref="I36:J47">
      <formula1>$K$164:$K$175</formula1>
    </dataValidation>
    <dataValidation type="list" allowBlank="1" showInputMessage="1" showErrorMessage="1" sqref="E36:F47">
      <formula1>$E$164:$E$175</formula1>
    </dataValidation>
  </dataValidations>
  <hyperlinks>
    <hyperlink ref="B1" location="Skills!A1" display="Skills"/>
    <hyperlink ref="B2" location="Gear!A1" display="Gear"/>
    <hyperlink ref="A3:B3" location="Sheet!A1" display="View the Sheet"/>
    <hyperlink ref="A1" location="Begin!A1" display="Begin"/>
  </hyperlink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R145"/>
  <sheetViews>
    <sheetView workbookViewId="0" topLeftCell="A1">
      <pane ySplit="3" topLeftCell="BM10" activePane="bottomLeft" state="frozen"/>
      <selection pane="topLeft" activeCell="A1" sqref="A1"/>
      <selection pane="bottomLeft" activeCell="E29" sqref="E29"/>
    </sheetView>
  </sheetViews>
  <sheetFormatPr defaultColWidth="9.140625" defaultRowHeight="12.75"/>
  <cols>
    <col min="1" max="16384" width="9.140625" style="1" customWidth="1"/>
  </cols>
  <sheetData>
    <row r="1" spans="1:15" ht="12.75">
      <c r="A1" s="7" t="s">
        <v>0</v>
      </c>
      <c r="B1" s="4" t="s">
        <v>1</v>
      </c>
      <c r="H1" s="40" t="s">
        <v>782</v>
      </c>
      <c r="K1" s="108" t="s">
        <v>772</v>
      </c>
      <c r="L1" s="108"/>
      <c r="M1" s="108"/>
      <c r="N1" s="108"/>
      <c r="O1" s="108"/>
    </row>
    <row r="2" spans="1:2" ht="12.75">
      <c r="A2" s="5" t="s">
        <v>2</v>
      </c>
      <c r="B2" s="10" t="s">
        <v>3</v>
      </c>
    </row>
    <row r="3" spans="1:14" ht="12.75">
      <c r="A3" s="112" t="s">
        <v>4</v>
      </c>
      <c r="B3" s="113"/>
      <c r="K3" s="13" t="s">
        <v>773</v>
      </c>
      <c r="M3" s="1" t="s">
        <v>513</v>
      </c>
      <c r="N3" s="1" t="s">
        <v>774</v>
      </c>
    </row>
    <row r="4" spans="11:18" ht="12.75">
      <c r="K4" s="117" t="s">
        <v>646</v>
      </c>
      <c r="L4" s="117"/>
      <c r="M4" s="20">
        <v>8</v>
      </c>
      <c r="N4" s="57"/>
      <c r="P4" s="65" t="b">
        <f>IF(N4&gt;0,K4&amp;IF(N4&gt;1," ("&amp;N4&amp;")",""))</f>
        <v>0</v>
      </c>
      <c r="Q4" s="65" t="e">
        <f>MATCH("*",P4:P144,0)</f>
        <v>#N/A</v>
      </c>
      <c r="R4" s="65" t="e">
        <f ca="1">IF(Q4&lt;142,OFFSET(P$3,Q4,0),"")</f>
        <v>#N/A</v>
      </c>
    </row>
    <row r="5" spans="1:18" ht="12.75">
      <c r="A5" s="108" t="s">
        <v>757</v>
      </c>
      <c r="B5" s="108"/>
      <c r="C5" s="108"/>
      <c r="D5" s="108"/>
      <c r="E5" s="108"/>
      <c r="F5" s="12"/>
      <c r="G5" s="108" t="s">
        <v>764</v>
      </c>
      <c r="H5" s="108"/>
      <c r="I5" s="108"/>
      <c r="K5" s="117" t="s">
        <v>647</v>
      </c>
      <c r="L5" s="117"/>
      <c r="M5" s="20">
        <v>1</v>
      </c>
      <c r="N5" s="57"/>
      <c r="P5" s="65" t="b">
        <f>IF(N5&gt;0,K5&amp;IF(N5&gt;1," ("&amp;N5&amp;")",""))</f>
        <v>0</v>
      </c>
      <c r="Q5" s="65" t="e">
        <f ca="1">MATCH("*",OFFSET(P$4,Q4,0):P$144,0)+Q4</f>
        <v>#N/A</v>
      </c>
      <c r="R5" s="65" t="e">
        <f aca="true" ca="1" t="shared" si="0" ref="R5:R68">IF(Q5&lt;142,OFFSET(P$3,Q5,0),"")</f>
        <v>#N/A</v>
      </c>
    </row>
    <row r="6" spans="1:18" ht="12.75">
      <c r="A6" s="21" t="s">
        <v>758</v>
      </c>
      <c r="B6" s="114"/>
      <c r="C6" s="116"/>
      <c r="D6" s="13" t="s">
        <v>763</v>
      </c>
      <c r="E6" s="57"/>
      <c r="F6" s="64" t="str">
        <f>IF(B10&lt;&gt;"two-handed","Primary Hand","")</f>
        <v>Primary Hand</v>
      </c>
      <c r="G6" s="21" t="s">
        <v>765</v>
      </c>
      <c r="H6" s="118"/>
      <c r="I6" s="119"/>
      <c r="K6" s="117" t="s">
        <v>648</v>
      </c>
      <c r="L6" s="117"/>
      <c r="M6" s="20">
        <v>40</v>
      </c>
      <c r="N6" s="57"/>
      <c r="P6" s="65" t="b">
        <f>IF(N6&gt;0,K6&amp;IF(N6&gt;1," ("&amp;N6&amp;")",""))</f>
        <v>0</v>
      </c>
      <c r="Q6" s="65" t="e">
        <f ca="1">MATCH("*",OFFSET(P$4,Q5,0):P$144,0)+Q5</f>
        <v>#N/A</v>
      </c>
      <c r="R6" s="65" t="e">
        <f ca="1" t="shared" si="0"/>
        <v>#N/A</v>
      </c>
    </row>
    <row r="7" spans="1:18" ht="12.75">
      <c r="A7" s="13" t="s">
        <v>325</v>
      </c>
      <c r="B7" s="58"/>
      <c r="D7" s="13" t="s">
        <v>766</v>
      </c>
      <c r="E7" s="58"/>
      <c r="F7" s="64"/>
      <c r="G7" s="13" t="s">
        <v>766</v>
      </c>
      <c r="H7" s="58"/>
      <c r="K7" s="117" t="s">
        <v>649</v>
      </c>
      <c r="L7" s="117"/>
      <c r="M7" s="20">
        <v>1</v>
      </c>
      <c r="N7" s="57"/>
      <c r="P7" s="65" t="b">
        <f>IF(N7&gt;0,K7&amp;IF(N7&gt;1," ("&amp;N7&amp;")",""))</f>
        <v>0</v>
      </c>
      <c r="Q7" s="65" t="e">
        <f ca="1">MATCH("*",OFFSET(P$4,Q6,0):P$144,0)+Q6</f>
        <v>#N/A</v>
      </c>
      <c r="R7" s="65" t="e">
        <f ca="1" t="shared" si="0"/>
        <v>#N/A</v>
      </c>
    </row>
    <row r="8" spans="1:18" ht="12.75">
      <c r="A8" s="13" t="s">
        <v>767</v>
      </c>
      <c r="B8" s="114"/>
      <c r="C8" s="115"/>
      <c r="D8" s="115"/>
      <c r="E8" s="116"/>
      <c r="F8" s="65" t="str">
        <f>IF(B10&lt;&gt;"light","Two-handed","")</f>
        <v>Two-handed</v>
      </c>
      <c r="G8" s="13" t="s">
        <v>767</v>
      </c>
      <c r="H8" s="114"/>
      <c r="I8" s="116"/>
      <c r="K8" s="117" t="s">
        <v>650</v>
      </c>
      <c r="L8" s="117"/>
      <c r="M8" s="20">
        <v>1</v>
      </c>
      <c r="N8" s="57"/>
      <c r="P8" s="65" t="b">
        <f aca="true" t="shared" si="1" ref="P8:P71">IF(N8&gt;0,K8&amp;IF(N8&gt;1," ("&amp;N8&amp;")",""))</f>
        <v>0</v>
      </c>
      <c r="Q8" s="65" t="e">
        <f ca="1">MATCH("*",OFFSET(P$4,Q7,0):P$144,0)+Q7</f>
        <v>#N/A</v>
      </c>
      <c r="R8" s="65" t="e">
        <f ca="1" t="shared" si="0"/>
        <v>#N/A</v>
      </c>
    </row>
    <row r="9" spans="1:18" ht="12.75">
      <c r="A9" s="1" t="s">
        <v>824</v>
      </c>
      <c r="B9" s="1">
        <f>IF(ISBLANK(B6),"",LOOKUP(B6,MeleeWs,Combat!N$4:N$66))</f>
      </c>
      <c r="D9" s="13" t="s">
        <v>769</v>
      </c>
      <c r="E9" s="1">
        <f ca="1">IF(ISBLANK(B6),"",OFFSET(Combat!A$26,MATCH(LOOKUP(B6,MeleeWs,Combat!P$4:P$66),Combat!A$27:A$41,0),MATCH(IF(ISBLANK(B7),Size,B7),Combat!B$26:J$26,0)))</f>
      </c>
      <c r="F9" s="65"/>
      <c r="G9" s="117" t="s">
        <v>784</v>
      </c>
      <c r="H9" s="117"/>
      <c r="I9" s="11">
        <f>IF(ISBLANK(H6),0,H7+LOOKUP(H6,Armors,Combat!D3:D14))</f>
        <v>0</v>
      </c>
      <c r="K9" s="117" t="s">
        <v>651</v>
      </c>
      <c r="L9" s="117"/>
      <c r="M9" s="20">
        <v>0</v>
      </c>
      <c r="N9" s="57"/>
      <c r="P9" s="65" t="b">
        <f t="shared" si="1"/>
        <v>0</v>
      </c>
      <c r="Q9" s="65" t="e">
        <f ca="1">MATCH("*",OFFSET(P$4,Q8,0):P$144,0)+Q8</f>
        <v>#N/A</v>
      </c>
      <c r="R9" s="65" t="e">
        <f ca="1" t="shared" si="0"/>
        <v>#N/A</v>
      </c>
    </row>
    <row r="10" spans="2:18" ht="12.75">
      <c r="B10" s="1">
        <f>IF(ISBLANK(B6),"",LOOKUP(B6,MeleeWs,Combat!O$4:O$66))</f>
      </c>
      <c r="D10" s="13" t="s">
        <v>770</v>
      </c>
      <c r="E10" s="1">
        <f>IF(ISBLANK(B6),"",IF(COUNTIF(Feats!B164:B181,B6)=0,LOOKUP(B6,MeleeWs,Combat!Q$4:Q$66),LOOKUP(LOOKUP(B6,MeleeWs,Combat!Q$4:Q$66),Combat!AH$3:AH$8,Combat!AI$3:AI$8)))</f>
      </c>
      <c r="F10" s="65"/>
      <c r="G10" s="117" t="s">
        <v>785</v>
      </c>
      <c r="H10" s="117"/>
      <c r="I10" s="11">
        <f>IF(ISBLANK(H6),DexMod,LOOKUP(H6,Armors,Combat!E3:E14))</f>
        <v>-5</v>
      </c>
      <c r="K10" s="117" t="s">
        <v>652</v>
      </c>
      <c r="L10" s="117"/>
      <c r="M10" s="20">
        <f>4/IF(Size="Small",4,1)</f>
        <v>4</v>
      </c>
      <c r="N10" s="57"/>
      <c r="P10" s="65" t="b">
        <f t="shared" si="1"/>
        <v>0</v>
      </c>
      <c r="Q10" s="65" t="e">
        <f ca="1">MATCH("*",OFFSET(P$4,Q9,0):P$144,0)+Q9</f>
        <v>#N/A</v>
      </c>
      <c r="R10" s="65" t="e">
        <f ca="1" t="shared" si="0"/>
        <v>#N/A</v>
      </c>
    </row>
    <row r="11" spans="2:18" ht="12.75">
      <c r="B11" s="1">
        <f>IF(ISBLANK(B6),"",LOOKUP(B6,MeleeWs,Combat!T$4:T$66))</f>
      </c>
      <c r="D11" s="13" t="s">
        <v>329</v>
      </c>
      <c r="E11" s="11">
        <f>IF(ISBLANK(B6),0,LOOKUP(B6,MeleeWs,Combat!S$4:S$66)*LOOKUP(IF(ISBLANK(B7),Size,B7),Sizes,Races!T3:T11))</f>
        <v>0</v>
      </c>
      <c r="F11" s="65"/>
      <c r="G11" s="117" t="s">
        <v>787</v>
      </c>
      <c r="H11" s="117"/>
      <c r="I11" s="11">
        <f>IF(ISBLANK(H6),0,LOOKUP(H6,Armors,Combat!F3:F14)+IF(AND(LOOKUP(H6,Armors,Combat!F3:F14)&lt;0,NOT(ISBLANK(H7))),1,0))</f>
        <v>0</v>
      </c>
      <c r="K11" s="117" t="s">
        <v>653</v>
      </c>
      <c r="L11" s="117"/>
      <c r="M11" s="20">
        <v>5</v>
      </c>
      <c r="N11" s="57"/>
      <c r="P11" s="65" t="b">
        <f t="shared" si="1"/>
        <v>0</v>
      </c>
      <c r="Q11" s="65" t="e">
        <f ca="1">MATCH("*",OFFSET(P$4,Q10,0):P$144,0)+Q10</f>
        <v>#N/A</v>
      </c>
      <c r="R11" s="65" t="e">
        <f ca="1" t="shared" si="0"/>
        <v>#N/A</v>
      </c>
    </row>
    <row r="12" spans="6:18" ht="12.75">
      <c r="F12" s="65"/>
      <c r="G12" s="117" t="s">
        <v>786</v>
      </c>
      <c r="H12" s="117"/>
      <c r="I12" s="11">
        <f>IF(ISBLANK(H6),0,LOOKUP(H6,Armors,Combat!G3:G14))</f>
        <v>0</v>
      </c>
      <c r="K12" s="117" t="s">
        <v>776</v>
      </c>
      <c r="L12" s="117"/>
      <c r="M12" s="20">
        <v>5</v>
      </c>
      <c r="N12" s="57"/>
      <c r="P12" s="65" t="b">
        <f t="shared" si="1"/>
        <v>0</v>
      </c>
      <c r="Q12" s="65" t="e">
        <f ca="1">MATCH("*",OFFSET(P$4,Q11,0):P$144,0)+Q11</f>
        <v>#N/A</v>
      </c>
      <c r="R12" s="65" t="e">
        <f ca="1" t="shared" si="0"/>
        <v>#N/A</v>
      </c>
    </row>
    <row r="13" spans="1:18" ht="12.75">
      <c r="A13" s="21" t="s">
        <v>758</v>
      </c>
      <c r="B13" s="114"/>
      <c r="C13" s="116"/>
      <c r="D13" s="13" t="s">
        <v>763</v>
      </c>
      <c r="E13" s="57"/>
      <c r="F13" s="64" t="str">
        <f>IF(B17&lt;&gt;"two-handed","Primary Hand","")</f>
        <v>Primary Hand</v>
      </c>
      <c r="H13" s="13" t="s">
        <v>329</v>
      </c>
      <c r="I13" s="11">
        <f>IF(ISBLANK(H6),0,LOOKUP(H6,Armors,Combat!I3:I14)*LOOKUP(Size,Sizes,Races!S3:S11))</f>
        <v>0</v>
      </c>
      <c r="K13" s="117" t="s">
        <v>654</v>
      </c>
      <c r="L13" s="117"/>
      <c r="M13" s="20">
        <v>1</v>
      </c>
      <c r="N13" s="57"/>
      <c r="P13" s="65" t="b">
        <f t="shared" si="1"/>
        <v>0</v>
      </c>
      <c r="Q13" s="65" t="e">
        <f ca="1">MATCH("*",OFFSET(P$4,Q12,0):P$144,0)+Q12</f>
        <v>#N/A</v>
      </c>
      <c r="R13" s="65" t="e">
        <f ca="1" t="shared" si="0"/>
        <v>#N/A</v>
      </c>
    </row>
    <row r="14" spans="1:18" ht="12.75">
      <c r="A14" s="13" t="s">
        <v>325</v>
      </c>
      <c r="B14" s="58"/>
      <c r="D14" s="13" t="s">
        <v>766</v>
      </c>
      <c r="E14" s="58"/>
      <c r="F14" s="65">
        <f>IF(OR(AND(B17="double weapon",E6="Primary Hand",B6=B18),AND(OR(B17="light",B17="one-handed"),E6="Primary Hand",B10&lt;&gt;"double weapon")),"Off-hand","")</f>
      </c>
      <c r="H14" s="13" t="s">
        <v>830</v>
      </c>
      <c r="I14" s="1">
        <f>IF(ISBLANK(H6),"",LOOKUP(H6,Armors,Combat!B3:B14))</f>
      </c>
      <c r="K14" s="117" t="s">
        <v>655</v>
      </c>
      <c r="L14" s="117"/>
      <c r="M14" s="20">
        <f>2/IF(Size="Small",4,1)</f>
        <v>2</v>
      </c>
      <c r="N14" s="57"/>
      <c r="P14" s="65" t="b">
        <f t="shared" si="1"/>
        <v>0</v>
      </c>
      <c r="Q14" s="65" t="e">
        <f ca="1">MATCH("*",OFFSET(P$4,Q13,0):P$144,0)+Q13</f>
        <v>#N/A</v>
      </c>
      <c r="R14" s="65" t="e">
        <f ca="1" t="shared" si="0"/>
        <v>#N/A</v>
      </c>
    </row>
    <row r="15" spans="1:18" ht="12.75">
      <c r="A15" s="13" t="s">
        <v>767</v>
      </c>
      <c r="B15" s="114"/>
      <c r="C15" s="115"/>
      <c r="D15" s="115"/>
      <c r="E15" s="116"/>
      <c r="F15" s="65" t="str">
        <f>IF(B17&lt;&gt;"light","Two-handed","")</f>
        <v>Two-handed</v>
      </c>
      <c r="K15" s="117" t="s">
        <v>656</v>
      </c>
      <c r="L15" s="117"/>
      <c r="M15" s="20">
        <v>30</v>
      </c>
      <c r="N15" s="57"/>
      <c r="P15" s="65" t="b">
        <f t="shared" si="1"/>
        <v>0</v>
      </c>
      <c r="Q15" s="65" t="e">
        <f ca="1">MATCH("*",OFFSET(P$4,Q14,0):P$144,0)+Q14</f>
        <v>#N/A</v>
      </c>
      <c r="R15" s="65" t="e">
        <f ca="1" t="shared" si="0"/>
        <v>#N/A</v>
      </c>
    </row>
    <row r="16" spans="1:18" ht="12.75">
      <c r="A16" s="1" t="s">
        <v>824</v>
      </c>
      <c r="B16" s="1">
        <f>IF(ISBLANK(B13),"",LOOKUP(B13,MeleeWs,Combat!N$4:N$66))</f>
      </c>
      <c r="D16" s="13" t="s">
        <v>769</v>
      </c>
      <c r="E16" s="1">
        <f ca="1">IF(ISBLANK(B13),"",OFFSET(Combat!A$26,MATCH(LOOKUP(B13,MeleeWs,Combat!P$4:P$66),Combat!A$27:A$41,0),MATCH(IF(ISBLANK(B14),Size,B14),Combat!B$26:J$26,0)))</f>
      </c>
      <c r="F16" s="65"/>
      <c r="G16" s="21" t="s">
        <v>768</v>
      </c>
      <c r="H16" s="118"/>
      <c r="I16" s="119"/>
      <c r="K16" s="117" t="s">
        <v>657</v>
      </c>
      <c r="L16" s="117"/>
      <c r="M16" s="20">
        <v>1</v>
      </c>
      <c r="N16" s="57"/>
      <c r="P16" s="65" t="b">
        <f t="shared" si="1"/>
        <v>0</v>
      </c>
      <c r="Q16" s="65" t="e">
        <f ca="1">MATCH("*",OFFSET(P$4,Q15,0):P$144,0)+Q15</f>
        <v>#N/A</v>
      </c>
      <c r="R16" s="65" t="e">
        <f ca="1" t="shared" si="0"/>
        <v>#N/A</v>
      </c>
    </row>
    <row r="17" spans="2:18" ht="12.75">
      <c r="B17" s="1">
        <f>IF(ISBLANK(B13),"",LOOKUP(B13,MeleeWs,Combat!O$4:O$66))</f>
      </c>
      <c r="D17" s="13" t="s">
        <v>770</v>
      </c>
      <c r="E17" s="1">
        <f>IF(ISBLANK(B13),"",IF(COUNTIF(Feats!B164:B181,B13)=0,LOOKUP(B13,MeleeWs,Combat!Q$4:Q$66),LOOKUP(LOOKUP(B13,MeleeWs,Combat!Q$4:Q$66),Combat!AH$3:AH$8,Combat!AI$3:AI$8)))</f>
      </c>
      <c r="F17" s="65" t="b">
        <f>AND(B13=B11,E6="Primary Hand",E13="Off-hand")</f>
        <v>0</v>
      </c>
      <c r="G17" s="13" t="s">
        <v>766</v>
      </c>
      <c r="H17" s="58"/>
      <c r="K17" s="117" t="s">
        <v>658</v>
      </c>
      <c r="L17" s="117"/>
      <c r="M17" s="20">
        <f>5/IF(Size="Small",4,1)</f>
        <v>5</v>
      </c>
      <c r="N17" s="57"/>
      <c r="P17" s="65" t="b">
        <f t="shared" si="1"/>
        <v>0</v>
      </c>
      <c r="Q17" s="65" t="e">
        <f ca="1">MATCH("*",OFFSET(P$4,Q16,0):P$144,0)+Q16</f>
        <v>#N/A</v>
      </c>
      <c r="R17" s="65" t="e">
        <f ca="1" t="shared" si="0"/>
        <v>#N/A</v>
      </c>
    </row>
    <row r="18" spans="2:18" ht="12.75">
      <c r="B18" s="1">
        <f>IF(ISBLANK(B13),"",LOOKUP(B13,MeleeWs,Combat!T$4:T$66))</f>
      </c>
      <c r="D18" s="13" t="s">
        <v>329</v>
      </c>
      <c r="E18" s="33">
        <f>IF(OR(ISBLANK(B13),F17),0,LOOKUP(B13,MeleeWs,Combat!S$4:S$66)*LOOKUP(IF(ISBLANK(B14),Size,B14),Sizes,Races!T3:T11))</f>
        <v>0</v>
      </c>
      <c r="F18" s="65"/>
      <c r="G18" s="13" t="s">
        <v>767</v>
      </c>
      <c r="H18" s="114"/>
      <c r="I18" s="116"/>
      <c r="K18" s="117" t="s">
        <v>659</v>
      </c>
      <c r="L18" s="117"/>
      <c r="M18" s="20">
        <v>0</v>
      </c>
      <c r="N18" s="57"/>
      <c r="P18" s="65" t="b">
        <f t="shared" si="1"/>
        <v>0</v>
      </c>
      <c r="Q18" s="65" t="e">
        <f ca="1">MATCH("*",OFFSET(P$4,Q17,0):P$144,0)+Q17</f>
        <v>#N/A</v>
      </c>
      <c r="R18" s="65" t="e">
        <f ca="1" t="shared" si="0"/>
        <v>#N/A</v>
      </c>
    </row>
    <row r="19" spans="6:18" ht="12.75">
      <c r="F19" s="65"/>
      <c r="G19" s="117" t="s">
        <v>788</v>
      </c>
      <c r="H19" s="117"/>
      <c r="I19" s="11">
        <f>IF(ISBLANK(H16),0,H17+LOOKUP(H16,Shields,Combat!C18:C23))</f>
        <v>0</v>
      </c>
      <c r="K19" s="117" t="s">
        <v>660</v>
      </c>
      <c r="L19" s="117"/>
      <c r="M19" s="20">
        <f>0.5/IF(Size="Small",4,1)</f>
        <v>0.5</v>
      </c>
      <c r="N19" s="57"/>
      <c r="P19" s="65" t="b">
        <f t="shared" si="1"/>
        <v>0</v>
      </c>
      <c r="Q19" s="65" t="e">
        <f ca="1">MATCH("*",OFFSET(P$4,Q18,0):P$144,0)+Q18</f>
        <v>#N/A</v>
      </c>
      <c r="R19" s="65" t="e">
        <f ca="1" t="shared" si="0"/>
        <v>#N/A</v>
      </c>
    </row>
    <row r="20" spans="1:18" ht="12.75">
      <c r="A20" s="21" t="s">
        <v>758</v>
      </c>
      <c r="B20" s="114"/>
      <c r="C20" s="116"/>
      <c r="D20" s="13" t="s">
        <v>763</v>
      </c>
      <c r="E20" s="57"/>
      <c r="F20" s="64" t="str">
        <f>IF(B24&lt;&gt;"two-handed","Primary Hand","")</f>
        <v>Primary Hand</v>
      </c>
      <c r="G20" s="117" t="s">
        <v>785</v>
      </c>
      <c r="H20" s="117"/>
      <c r="I20" s="11">
        <f>IF(ISBLANK(H16),DexMod,LOOKUP(H16,Shields,Combat!D18:D23))</f>
        <v>-5</v>
      </c>
      <c r="K20" s="117" t="s">
        <v>661</v>
      </c>
      <c r="L20" s="117"/>
      <c r="M20" s="20">
        <v>5</v>
      </c>
      <c r="N20" s="57"/>
      <c r="P20" s="65" t="b">
        <f t="shared" si="1"/>
        <v>0</v>
      </c>
      <c r="Q20" s="65" t="e">
        <f ca="1">MATCH("*",OFFSET(P$4,Q19,0):P$144,0)+Q19</f>
        <v>#N/A</v>
      </c>
      <c r="R20" s="65" t="e">
        <f ca="1" t="shared" si="0"/>
        <v>#N/A</v>
      </c>
    </row>
    <row r="21" spans="1:18" ht="12.75">
      <c r="A21" s="13" t="s">
        <v>325</v>
      </c>
      <c r="B21" s="58"/>
      <c r="D21" s="13" t="s">
        <v>766</v>
      </c>
      <c r="E21" s="58"/>
      <c r="F21" s="65">
        <f>IF(OR(AND(B24="double weapon",E13="Primary Hand",B13=B25),AND(OR(B24="light",B24="one-handed"),E13="Primary Hand",B17&lt;&gt;"double weapon")),"Off-hand","")</f>
      </c>
      <c r="G21" s="117" t="s">
        <v>787</v>
      </c>
      <c r="H21" s="117"/>
      <c r="I21" s="11">
        <f>IF(ISBLANK(H16),0,LOOKUP(H16,Shields,Combat!E18:E23)+IF(NOT(ISBLANK(H17)),1,0))</f>
        <v>0</v>
      </c>
      <c r="K21" s="117" t="s">
        <v>662</v>
      </c>
      <c r="L21" s="117"/>
      <c r="M21" s="20">
        <v>1.5</v>
      </c>
      <c r="N21" s="57"/>
      <c r="P21" s="65" t="b">
        <f t="shared" si="1"/>
        <v>0</v>
      </c>
      <c r="Q21" s="65" t="e">
        <f ca="1">MATCH("*",OFFSET(P$4,Q20,0):P$144,0)+Q20</f>
        <v>#N/A</v>
      </c>
      <c r="R21" s="65" t="e">
        <f ca="1" t="shared" si="0"/>
        <v>#N/A</v>
      </c>
    </row>
    <row r="22" spans="1:18" ht="12.75">
      <c r="A22" s="13" t="s">
        <v>767</v>
      </c>
      <c r="B22" s="114"/>
      <c r="C22" s="115"/>
      <c r="D22" s="115"/>
      <c r="E22" s="116"/>
      <c r="F22" s="65" t="str">
        <f>IF(B24&lt;&gt;"light","Two-handed","")</f>
        <v>Two-handed</v>
      </c>
      <c r="G22" s="117" t="s">
        <v>786</v>
      </c>
      <c r="H22" s="117"/>
      <c r="I22" s="11">
        <f>IF(ISBLANK(H16),0,LOOKUP(H16,Shields,Combat!F18:F23))</f>
        <v>0</v>
      </c>
      <c r="K22" s="117" t="s">
        <v>663</v>
      </c>
      <c r="L22" s="117"/>
      <c r="M22" s="20">
        <v>2</v>
      </c>
      <c r="N22" s="57"/>
      <c r="P22" s="65" t="b">
        <f t="shared" si="1"/>
        <v>0</v>
      </c>
      <c r="Q22" s="65" t="e">
        <f ca="1">MATCH("*",OFFSET(P$4,Q21,0):P$144,0)+Q21</f>
        <v>#N/A</v>
      </c>
      <c r="R22" s="65" t="e">
        <f ca="1" t="shared" si="0"/>
        <v>#N/A</v>
      </c>
    </row>
    <row r="23" spans="1:18" ht="12.75">
      <c r="A23" s="1" t="s">
        <v>824</v>
      </c>
      <c r="B23" s="1">
        <f>IF(ISBLANK(B20),"",LOOKUP(B20,MeleeWs,Combat!N$4:N$66))</f>
      </c>
      <c r="D23" s="13" t="s">
        <v>769</v>
      </c>
      <c r="E23" s="1">
        <f ca="1">IF(ISBLANK(B20),"",OFFSET(Combat!A$26,MATCH(LOOKUP(B20,MeleeWs,Combat!P$4:P$66),Combat!A$27:A$41,0),MATCH(IF(ISBLANK(B21),Size,B21),Combat!B$26:J$26,0)))</f>
      </c>
      <c r="H23" s="13" t="s">
        <v>329</v>
      </c>
      <c r="I23" s="11">
        <f>IF(ISBLANK(H16),0,LOOKUP(H16,Shields,Combat!G18:G23)*LOOKUP(Size,Sizes,Races!S3:S11))</f>
        <v>0</v>
      </c>
      <c r="K23" s="117" t="s">
        <v>664</v>
      </c>
      <c r="L23" s="117"/>
      <c r="M23" s="20">
        <v>3</v>
      </c>
      <c r="N23" s="57"/>
      <c r="P23" s="65" t="b">
        <f t="shared" si="1"/>
        <v>0</v>
      </c>
      <c r="Q23" s="65" t="e">
        <f ca="1">MATCH("*",OFFSET(P$4,Q22,0):P$144,0)+Q22</f>
        <v>#N/A</v>
      </c>
      <c r="R23" s="65" t="e">
        <f ca="1" t="shared" si="0"/>
        <v>#N/A</v>
      </c>
    </row>
    <row r="24" spans="2:18" ht="12.75">
      <c r="B24" s="1">
        <f>IF(ISBLANK(B20),"",LOOKUP(B20,MeleeWs,Combat!O$4:O$66))</f>
      </c>
      <c r="D24" s="13" t="s">
        <v>770</v>
      </c>
      <c r="E24" s="1">
        <f>IF(ISBLANK(B20),"",IF(COUNTIF(Feats!B164:B181,B20)=0,LOOKUP(B20,MeleeWs,Combat!Q$4:Q$66),LOOKUP(LOOKUP(B20,MeleeWs,Combat!Q$4:Q$66),Combat!AH$3:AH$8,Combat!AI$3:AI$8)))</f>
      </c>
      <c r="K24" s="117" t="s">
        <v>665</v>
      </c>
      <c r="L24" s="117"/>
      <c r="M24" s="20">
        <v>2</v>
      </c>
      <c r="N24" s="57"/>
      <c r="P24" s="65" t="b">
        <f t="shared" si="1"/>
        <v>0</v>
      </c>
      <c r="Q24" s="65" t="e">
        <f ca="1">MATCH("*",OFFSET(P$4,Q23,0):P$144,0)+Q23</f>
        <v>#N/A</v>
      </c>
      <c r="R24" s="65" t="e">
        <f ca="1" t="shared" si="0"/>
        <v>#N/A</v>
      </c>
    </row>
    <row r="25" spans="2:18" ht="12.75">
      <c r="B25" s="1">
        <f>IF(ISBLANK(B20),"",LOOKUP(B20,MeleeWs,Combat!T$4:T$66))</f>
      </c>
      <c r="D25" s="13" t="s">
        <v>329</v>
      </c>
      <c r="E25" s="33">
        <f>IF(ISBLANK(B20),0,LOOKUP(B20,MeleeWs,Combat!S$4:S$66)*LOOKUP(IF(ISBLANK(B21),Size,B21),Sizes,Races!T3:T11))</f>
        <v>0</v>
      </c>
      <c r="G25" s="108" t="s">
        <v>796</v>
      </c>
      <c r="H25" s="108"/>
      <c r="I25" s="108"/>
      <c r="K25" s="117" t="s">
        <v>666</v>
      </c>
      <c r="L25" s="117"/>
      <c r="M25" s="20">
        <v>0</v>
      </c>
      <c r="N25" s="57"/>
      <c r="P25" s="65" t="b">
        <f t="shared" si="1"/>
        <v>0</v>
      </c>
      <c r="Q25" s="65" t="e">
        <f ca="1">MATCH("*",OFFSET(P$4,Q24,0):P$144,0)+Q24</f>
        <v>#N/A</v>
      </c>
      <c r="R25" s="65" t="e">
        <f ca="1" t="shared" si="0"/>
        <v>#N/A</v>
      </c>
    </row>
    <row r="26" spans="7:18" ht="12.75">
      <c r="G26" s="13" t="s">
        <v>797</v>
      </c>
      <c r="H26" s="114"/>
      <c r="I26" s="116"/>
      <c r="K26" s="117" t="s">
        <v>667</v>
      </c>
      <c r="L26" s="117"/>
      <c r="M26" s="20">
        <v>2</v>
      </c>
      <c r="N26" s="57"/>
      <c r="P26" s="65" t="b">
        <f t="shared" si="1"/>
        <v>0</v>
      </c>
      <c r="Q26" s="65" t="e">
        <f ca="1">MATCH("*",OFFSET(P$4,Q25,0):P$144,0)+Q25</f>
        <v>#N/A</v>
      </c>
      <c r="R26" s="65" t="e">
        <f ca="1" t="shared" si="0"/>
        <v>#N/A</v>
      </c>
    </row>
    <row r="27" spans="1:18" ht="12.75">
      <c r="A27" s="108" t="s">
        <v>771</v>
      </c>
      <c r="B27" s="108"/>
      <c r="C27" s="108"/>
      <c r="D27" s="108"/>
      <c r="E27" s="108"/>
      <c r="G27" s="13" t="s">
        <v>766</v>
      </c>
      <c r="H27" s="57"/>
      <c r="K27" s="117" t="s">
        <v>668</v>
      </c>
      <c r="L27" s="117"/>
      <c r="M27" s="20">
        <v>0</v>
      </c>
      <c r="N27" s="57"/>
      <c r="P27" s="65" t="b">
        <f t="shared" si="1"/>
        <v>0</v>
      </c>
      <c r="Q27" s="65" t="e">
        <f ca="1">MATCH("*",OFFSET(P$4,Q26,0):P$144,0)+Q26</f>
        <v>#N/A</v>
      </c>
      <c r="R27" s="65" t="e">
        <f ca="1" t="shared" si="0"/>
        <v>#N/A</v>
      </c>
    </row>
    <row r="28" spans="1:18" ht="12.75">
      <c r="A28" s="21" t="s">
        <v>758</v>
      </c>
      <c r="B28" s="114"/>
      <c r="C28" s="116"/>
      <c r="D28" s="1">
        <f>IF(OR(B28="Composite longbow",B28="Composite shortbow"),"Strength rating:","")</f>
      </c>
      <c r="E28" s="46"/>
      <c r="G28" s="13" t="s">
        <v>329</v>
      </c>
      <c r="H28" s="57"/>
      <c r="K28" s="117" t="s">
        <v>669</v>
      </c>
      <c r="L28" s="117"/>
      <c r="M28" s="20">
        <v>25</v>
      </c>
      <c r="N28" s="57"/>
      <c r="P28" s="65" t="b">
        <f t="shared" si="1"/>
        <v>0</v>
      </c>
      <c r="Q28" s="65" t="e">
        <f ca="1">MATCH("*",OFFSET(P$4,Q27,0):P$144,0)+Q27</f>
        <v>#N/A</v>
      </c>
      <c r="R28" s="65" t="e">
        <f ca="1" t="shared" si="0"/>
        <v>#N/A</v>
      </c>
    </row>
    <row r="29" spans="1:18" ht="12.75">
      <c r="A29" s="13" t="s">
        <v>325</v>
      </c>
      <c r="B29" s="58"/>
      <c r="D29" s="13" t="s">
        <v>766</v>
      </c>
      <c r="E29" s="58"/>
      <c r="K29" s="117" t="s">
        <v>670</v>
      </c>
      <c r="L29" s="117"/>
      <c r="M29" s="20">
        <v>0.5</v>
      </c>
      <c r="N29" s="57"/>
      <c r="P29" s="65" t="b">
        <f t="shared" si="1"/>
        <v>0</v>
      </c>
      <c r="Q29" s="65" t="e">
        <f ca="1">MATCH("*",OFFSET(P$4,Q28,0):P$144,0)+Q28</f>
        <v>#N/A</v>
      </c>
      <c r="R29" s="65" t="e">
        <f ca="1" t="shared" si="0"/>
        <v>#N/A</v>
      </c>
    </row>
    <row r="30" spans="1:18" ht="12.75">
      <c r="A30" s="13" t="s">
        <v>767</v>
      </c>
      <c r="B30" s="114"/>
      <c r="C30" s="115"/>
      <c r="D30" s="115"/>
      <c r="E30" s="116"/>
      <c r="G30" s="13" t="s">
        <v>797</v>
      </c>
      <c r="H30" s="114"/>
      <c r="I30" s="116"/>
      <c r="K30" s="117" t="s">
        <v>671</v>
      </c>
      <c r="L30" s="117"/>
      <c r="M30" s="20">
        <v>9</v>
      </c>
      <c r="N30" s="57"/>
      <c r="P30" s="65" t="b">
        <f t="shared" si="1"/>
        <v>0</v>
      </c>
      <c r="Q30" s="65" t="e">
        <f ca="1">MATCH("*",OFFSET(P$4,Q29,0):P$144,0)+Q29</f>
        <v>#N/A</v>
      </c>
      <c r="R30" s="65" t="e">
        <f ca="1" t="shared" si="0"/>
        <v>#N/A</v>
      </c>
    </row>
    <row r="31" spans="4:18" ht="12.75">
      <c r="D31" s="13" t="s">
        <v>769</v>
      </c>
      <c r="E31" s="1">
        <f ca="1">IF(ISBLANK(B28),"",OFFSET(Combat!A$26,MATCH(LOOKUP(B28,RangedWs,Combat!Z$3:Z$27),Combat!A$27:A$41,0),MATCH(IF(ISBLANK(B29),Size,B29),Combat!B$26:J$26,0)))</f>
      </c>
      <c r="F31" s="59"/>
      <c r="G31" s="13" t="s">
        <v>766</v>
      </c>
      <c r="H31" s="57"/>
      <c r="K31" s="117" t="s">
        <v>672</v>
      </c>
      <c r="L31" s="117"/>
      <c r="M31" s="20">
        <v>1</v>
      </c>
      <c r="N31" s="57"/>
      <c r="P31" s="65" t="b">
        <f t="shared" si="1"/>
        <v>0</v>
      </c>
      <c r="Q31" s="65" t="e">
        <f ca="1">MATCH("*",OFFSET(P$4,Q30,0):P$144,0)+Q30</f>
        <v>#N/A</v>
      </c>
      <c r="R31" s="65" t="e">
        <f ca="1" t="shared" si="0"/>
        <v>#N/A</v>
      </c>
    </row>
    <row r="32" spans="4:18" ht="12.75">
      <c r="D32" s="13" t="s">
        <v>770</v>
      </c>
      <c r="E32" s="1">
        <f>IF(ISBLANK(B28),"",IF(COUNTIF(Feats!B164:B181,B28)=0,LOOKUP(B28,RangedWs,Combat!AA$3:AA$27),LOOKUP(LOOKUP(B28,RangedWs,Combat!AA$3:AA$27),Combat!AH$3:AH$8,Combat!AI$3:AI$8)))</f>
      </c>
      <c r="G32" s="13" t="s">
        <v>329</v>
      </c>
      <c r="H32" s="57"/>
      <c r="K32" s="117" t="s">
        <v>673</v>
      </c>
      <c r="L32" s="117"/>
      <c r="M32" s="20">
        <v>5</v>
      </c>
      <c r="N32" s="57"/>
      <c r="P32" s="65" t="b">
        <f t="shared" si="1"/>
        <v>0</v>
      </c>
      <c r="Q32" s="65" t="e">
        <f ca="1">MATCH("*",OFFSET(P$4,Q31,0):P$144,0)+Q31</f>
        <v>#N/A</v>
      </c>
      <c r="R32" s="65" t="e">
        <f ca="1" t="shared" si="0"/>
        <v>#N/A</v>
      </c>
    </row>
    <row r="33" spans="2:18" ht="12.75">
      <c r="B33" s="13" t="s">
        <v>329</v>
      </c>
      <c r="C33" s="33">
        <f>IF(ISBLANK(B28),0,LOOKUP(B28,RangedWs,Combat!AD$3:AD$27)*LOOKUP(IF(ISBLANK(B29),Size,B29),Sizes,Races!T3:T11))</f>
        <v>0</v>
      </c>
      <c r="D33" s="13" t="s">
        <v>789</v>
      </c>
      <c r="E33" s="11">
        <f>IF(ISBLANK(B28),"",LOOKUP(B28,RangedWs,Combat!AB$3:AB$27))</f>
      </c>
      <c r="K33" s="117" t="s">
        <v>674</v>
      </c>
      <c r="L33" s="117"/>
      <c r="M33" s="20">
        <f>6/IF(Size="Small",4,1)</f>
        <v>6</v>
      </c>
      <c r="N33" s="57"/>
      <c r="P33" s="65" t="b">
        <f t="shared" si="1"/>
        <v>0</v>
      </c>
      <c r="Q33" s="65" t="e">
        <f ca="1">MATCH("*",OFFSET(P$4,Q32,0):P$144,0)+Q32</f>
        <v>#N/A</v>
      </c>
      <c r="R33" s="65" t="e">
        <f ca="1" t="shared" si="0"/>
        <v>#N/A</v>
      </c>
    </row>
    <row r="34" spans="7:18" ht="12.75">
      <c r="G34" s="65" t="s">
        <v>853</v>
      </c>
      <c r="H34" s="65" t="b">
        <f>NOT(OR(B10="Two-handed",B10="double weapon",A50))</f>
        <v>1</v>
      </c>
      <c r="K34" s="117" t="s">
        <v>675</v>
      </c>
      <c r="L34" s="117"/>
      <c r="M34" s="20">
        <f>5/IF(Size="Small",4,1)</f>
        <v>5</v>
      </c>
      <c r="N34" s="57"/>
      <c r="P34" s="65" t="b">
        <f t="shared" si="1"/>
        <v>0</v>
      </c>
      <c r="Q34" s="65" t="e">
        <f ca="1">MATCH("*",OFFSET(P$4,Q33,0):P$144,0)+Q33</f>
        <v>#N/A</v>
      </c>
      <c r="R34" s="65" t="e">
        <f ca="1" t="shared" si="0"/>
        <v>#N/A</v>
      </c>
    </row>
    <row r="35" spans="1:18" ht="12.75">
      <c r="A35" s="21" t="s">
        <v>758</v>
      </c>
      <c r="B35" s="114"/>
      <c r="C35" s="116"/>
      <c r="D35" s="1">
        <f>IF(OR(B35="Composite longbow",B35="Composite shortbow"),"Strength rating:","")</f>
      </c>
      <c r="E35" s="46"/>
      <c r="G35" s="65"/>
      <c r="H35" s="65"/>
      <c r="K35" s="117" t="s">
        <v>676</v>
      </c>
      <c r="L35" s="117"/>
      <c r="M35" s="20">
        <f>7/IF(Size="Small",4,1)</f>
        <v>7</v>
      </c>
      <c r="N35" s="57"/>
      <c r="P35" s="65" t="b">
        <f t="shared" si="1"/>
        <v>0</v>
      </c>
      <c r="Q35" s="65" t="e">
        <f ca="1">MATCH("*",OFFSET(P$4,Q34,0):P$144,0)+Q34</f>
        <v>#N/A</v>
      </c>
      <c r="R35" s="65" t="e">
        <f ca="1" t="shared" si="0"/>
        <v>#N/A</v>
      </c>
    </row>
    <row r="36" spans="1:18" ht="12.75">
      <c r="A36" s="13" t="s">
        <v>325</v>
      </c>
      <c r="B36" s="58"/>
      <c r="D36" s="13" t="s">
        <v>766</v>
      </c>
      <c r="E36" s="58"/>
      <c r="G36" s="65" t="s">
        <v>870</v>
      </c>
      <c r="H36" s="65">
        <f>IF(ISBLANK(Race),0,LOOKUP(Race,Races,Races!B3:L3))+IF(Classes!C5&gt;0,IF(OR(Sheet!W206&gt;Sheet!W159,Gear!I14="Heavy"),0,10),0)+IF(AND(ISBLANK(Gear!H6),Sheet!W206&lt;=Sheet!W158),TRUNC(Classes!C12/3)*10,0)</f>
        <v>0</v>
      </c>
      <c r="K36" s="117" t="s">
        <v>677</v>
      </c>
      <c r="L36" s="117"/>
      <c r="M36" s="20">
        <v>1</v>
      </c>
      <c r="N36" s="57"/>
      <c r="P36" s="65" t="b">
        <f t="shared" si="1"/>
        <v>0</v>
      </c>
      <c r="Q36" s="65" t="e">
        <f ca="1">MATCH("*",OFFSET(P$4,Q35,0):P$144,0)+Q35</f>
        <v>#N/A</v>
      </c>
      <c r="R36" s="65" t="e">
        <f ca="1" t="shared" si="0"/>
        <v>#N/A</v>
      </c>
    </row>
    <row r="37" spans="1:18" ht="12.75">
      <c r="A37" s="13" t="s">
        <v>767</v>
      </c>
      <c r="B37" s="114"/>
      <c r="C37" s="115"/>
      <c r="D37" s="115"/>
      <c r="E37" s="116"/>
      <c r="K37" s="117" t="s">
        <v>678</v>
      </c>
      <c r="L37" s="117"/>
      <c r="M37" s="20">
        <f>6/IF(Size="Small",4,1)</f>
        <v>6</v>
      </c>
      <c r="N37" s="57"/>
      <c r="P37" s="65" t="b">
        <f t="shared" si="1"/>
        <v>0</v>
      </c>
      <c r="Q37" s="65" t="e">
        <f ca="1">MATCH("*",OFFSET(P$4,Q36,0):P$144,0)+Q36</f>
        <v>#N/A</v>
      </c>
      <c r="R37" s="65" t="e">
        <f ca="1" t="shared" si="0"/>
        <v>#N/A</v>
      </c>
    </row>
    <row r="38" spans="4:18" ht="12.75">
      <c r="D38" s="13" t="s">
        <v>769</v>
      </c>
      <c r="E38" s="1">
        <f ca="1">IF(ISBLANK(B35),"",OFFSET(Combat!A$26,MATCH(LOOKUP(B35,RangedWs,Combat!Z$3:Z$27),Combat!A$27:A$41,0),MATCH(IF(ISBLANK(B36),Size,B36),Combat!B$26:J$26,0)))</f>
      </c>
      <c r="F38" s="59"/>
      <c r="K38" s="117" t="s">
        <v>679</v>
      </c>
      <c r="L38" s="117"/>
      <c r="M38" s="20">
        <v>5</v>
      </c>
      <c r="N38" s="57"/>
      <c r="P38" s="65" t="b">
        <f t="shared" si="1"/>
        <v>0</v>
      </c>
      <c r="Q38" s="65" t="e">
        <f ca="1">MATCH("*",OFFSET(P$4,Q37,0):P$144,0)+Q37</f>
        <v>#N/A</v>
      </c>
      <c r="R38" s="65" t="e">
        <f ca="1" t="shared" si="0"/>
        <v>#N/A</v>
      </c>
    </row>
    <row r="39" spans="4:18" ht="12.75">
      <c r="D39" s="13" t="s">
        <v>770</v>
      </c>
      <c r="E39" s="1">
        <f>IF(ISBLANK(B35),"",IF(COUNTIF(Feats!B164:B181,B35)=0,LOOKUP(B35,RangedWs,Combat!AA$3:AA$27),LOOKUP(LOOKUP(B35,RangedWs,Combat!AA$3:AA$27),Combat!AH$3:AH$8,Combat!AI$3:AI$8)))</f>
      </c>
      <c r="K39" s="117" t="s">
        <v>680</v>
      </c>
      <c r="L39" s="117"/>
      <c r="M39" s="20">
        <f>8/IF(Size="Small",4,1)</f>
        <v>8</v>
      </c>
      <c r="N39" s="57"/>
      <c r="P39" s="65" t="b">
        <f t="shared" si="1"/>
        <v>0</v>
      </c>
      <c r="Q39" s="65" t="e">
        <f ca="1">MATCH("*",OFFSET(P$4,Q38,0):P$144,0)+Q38</f>
        <v>#N/A</v>
      </c>
      <c r="R39" s="65" t="e">
        <f ca="1" t="shared" si="0"/>
        <v>#N/A</v>
      </c>
    </row>
    <row r="40" spans="2:18" ht="12.75">
      <c r="B40" s="13" t="s">
        <v>329</v>
      </c>
      <c r="C40" s="33">
        <f>IF(ISBLANK(B35),0,LOOKUP(B35,RangedWs,Combat!AD$3:AD$27)*LOOKUP(IF(ISBLANK(B36),Size,B36),Sizes,Races!T3:T11))</f>
        <v>0</v>
      </c>
      <c r="D40" s="13" t="s">
        <v>789</v>
      </c>
      <c r="E40" s="11">
        <f>IF(ISBLANK(B35),"",LOOKUP(B35,RangedWs,Combat!AB$3:AB$27))</f>
      </c>
      <c r="K40" s="117" t="s">
        <v>681</v>
      </c>
      <c r="L40" s="117"/>
      <c r="M40" s="20">
        <f>4/IF(Size="Small",4,1)</f>
        <v>4</v>
      </c>
      <c r="N40" s="57"/>
      <c r="P40" s="65" t="b">
        <f t="shared" si="1"/>
        <v>0</v>
      </c>
      <c r="Q40" s="65" t="e">
        <f ca="1">MATCH("*",OFFSET(P$4,Q39,0):P$144,0)+Q39</f>
        <v>#N/A</v>
      </c>
      <c r="R40" s="65" t="e">
        <f ca="1" t="shared" si="0"/>
        <v>#N/A</v>
      </c>
    </row>
    <row r="41" spans="11:18" ht="12.75">
      <c r="K41" s="117" t="s">
        <v>682</v>
      </c>
      <c r="L41" s="117"/>
      <c r="M41" s="20">
        <v>1</v>
      </c>
      <c r="N41" s="57"/>
      <c r="P41" s="65" t="b">
        <f t="shared" si="1"/>
        <v>0</v>
      </c>
      <c r="Q41" s="65" t="e">
        <f ca="1">MATCH("*",OFFSET(P$4,Q40,0):P$144,0)+Q40</f>
        <v>#N/A</v>
      </c>
      <c r="R41" s="65" t="e">
        <f ca="1" t="shared" si="0"/>
        <v>#N/A</v>
      </c>
    </row>
    <row r="42" spans="1:18" ht="12.75">
      <c r="A42" s="21" t="s">
        <v>758</v>
      </c>
      <c r="B42" s="114"/>
      <c r="C42" s="116"/>
      <c r="D42" s="1">
        <f>IF(OR(B42="Composite longbow",B42="Composite shortbow"),"Strength rating:","")</f>
      </c>
      <c r="E42" s="46"/>
      <c r="K42" s="117" t="s">
        <v>683</v>
      </c>
      <c r="L42" s="117"/>
      <c r="M42" s="20">
        <f>8/IF(Size="Small",4,1)</f>
        <v>8</v>
      </c>
      <c r="N42" s="57"/>
      <c r="P42" s="65" t="b">
        <f t="shared" si="1"/>
        <v>0</v>
      </c>
      <c r="Q42" s="65" t="e">
        <f ca="1">MATCH("*",OFFSET(P$4,Q41,0):P$144,0)+Q41</f>
        <v>#N/A</v>
      </c>
      <c r="R42" s="65" t="e">
        <f ca="1" t="shared" si="0"/>
        <v>#N/A</v>
      </c>
    </row>
    <row r="43" spans="1:18" ht="12.75">
      <c r="A43" s="13" t="s">
        <v>325</v>
      </c>
      <c r="B43" s="58"/>
      <c r="D43" s="13" t="s">
        <v>766</v>
      </c>
      <c r="E43" s="58"/>
      <c r="K43" s="117" t="s">
        <v>684</v>
      </c>
      <c r="L43" s="117"/>
      <c r="M43" s="20">
        <v>20</v>
      </c>
      <c r="N43" s="57"/>
      <c r="P43" s="65" t="b">
        <f t="shared" si="1"/>
        <v>0</v>
      </c>
      <c r="Q43" s="65" t="e">
        <f ca="1">MATCH("*",OFFSET(P$4,Q42,0):P$144,0)+Q42</f>
        <v>#N/A</v>
      </c>
      <c r="R43" s="65" t="e">
        <f ca="1" t="shared" si="0"/>
        <v>#N/A</v>
      </c>
    </row>
    <row r="44" spans="1:18" ht="12.75">
      <c r="A44" s="13" t="s">
        <v>767</v>
      </c>
      <c r="B44" s="114"/>
      <c r="C44" s="115"/>
      <c r="D44" s="115"/>
      <c r="E44" s="116"/>
      <c r="K44" s="117" t="s">
        <v>685</v>
      </c>
      <c r="L44" s="117"/>
      <c r="M44" s="20">
        <v>0</v>
      </c>
      <c r="N44" s="57"/>
      <c r="P44" s="65" t="b">
        <f t="shared" si="1"/>
        <v>0</v>
      </c>
      <c r="Q44" s="65" t="e">
        <f ca="1">MATCH("*",OFFSET(P$4,Q43,0):P$144,0)+Q43</f>
        <v>#N/A</v>
      </c>
      <c r="R44" s="65" t="e">
        <f ca="1" t="shared" si="0"/>
        <v>#N/A</v>
      </c>
    </row>
    <row r="45" spans="4:18" ht="12.75">
      <c r="D45" s="13" t="s">
        <v>769</v>
      </c>
      <c r="E45" s="1">
        <f ca="1">IF(ISBLANK(B42),"",OFFSET(Combat!A$26,MATCH(LOOKUP(B42,RangedWs,Combat!Z$3:Z$27),Combat!A$27:A$41,0),MATCH(IF(ISBLANK(B43),Size,B43),Combat!B$26:J$26,0)))</f>
      </c>
      <c r="F45" s="59"/>
      <c r="K45" s="117" t="s">
        <v>686</v>
      </c>
      <c r="L45" s="117"/>
      <c r="M45" s="20">
        <v>5</v>
      </c>
      <c r="N45" s="57"/>
      <c r="P45" s="65" t="b">
        <f t="shared" si="1"/>
        <v>0</v>
      </c>
      <c r="Q45" s="65" t="e">
        <f ca="1">MATCH("*",OFFSET(P$4,Q44,0):P$144,0)+Q44</f>
        <v>#N/A</v>
      </c>
      <c r="R45" s="65" t="e">
        <f ca="1" t="shared" si="0"/>
        <v>#N/A</v>
      </c>
    </row>
    <row r="46" spans="4:18" ht="12.75">
      <c r="D46" s="13" t="s">
        <v>770</v>
      </c>
      <c r="E46" s="1">
        <f>IF(ISBLANK(B42),"",IF(COUNTIF(Feats!B164:B181,B42)=0,LOOKUP(B42,RangedWs,Combat!AA$3:AA$27),LOOKUP(LOOKUP(B42,RangedWs,Combat!AA$3:AA$27),Combat!AH$3:AH$8,Combat!AI$3:AI$8)))</f>
      </c>
      <c r="K46" s="117" t="s">
        <v>687</v>
      </c>
      <c r="L46" s="117"/>
      <c r="M46" s="20">
        <v>1.5</v>
      </c>
      <c r="N46" s="57"/>
      <c r="P46" s="65" t="b">
        <f t="shared" si="1"/>
        <v>0</v>
      </c>
      <c r="Q46" s="65" t="e">
        <f ca="1">MATCH("*",OFFSET(P$4,Q45,0):P$144,0)+Q45</f>
        <v>#N/A</v>
      </c>
      <c r="R46" s="65" t="e">
        <f ca="1" t="shared" si="0"/>
        <v>#N/A</v>
      </c>
    </row>
    <row r="47" spans="2:18" ht="12.75">
      <c r="B47" s="13" t="s">
        <v>329</v>
      </c>
      <c r="C47" s="33">
        <f>IF(ISBLANK(B42),0,LOOKUP(B42,RangedWs,Combat!AD$3:AD$27)*LOOKUP(IF(ISBLANK(B43),Size,B43),Sizes,Races!T3:T11))</f>
        <v>0</v>
      </c>
      <c r="D47" s="13" t="s">
        <v>789</v>
      </c>
      <c r="E47" s="11">
        <f>IF(ISBLANK(B42),"",LOOKUP(B42,RangedWs,Combat!AB$3:AB$27))</f>
      </c>
      <c r="K47" s="117" t="s">
        <v>688</v>
      </c>
      <c r="L47" s="117"/>
      <c r="M47" s="20">
        <v>0</v>
      </c>
      <c r="N47" s="57"/>
      <c r="P47" s="65" t="b">
        <f t="shared" si="1"/>
        <v>0</v>
      </c>
      <c r="Q47" s="65" t="e">
        <f ca="1">MATCH("*",OFFSET(P$4,Q46,0):P$144,0)+Q46</f>
        <v>#N/A</v>
      </c>
      <c r="R47" s="65" t="e">
        <f ca="1" t="shared" si="0"/>
        <v>#N/A</v>
      </c>
    </row>
    <row r="48" spans="11:18" ht="12.75">
      <c r="K48" s="117" t="s">
        <v>689</v>
      </c>
      <c r="L48" s="117"/>
      <c r="M48" s="20">
        <v>8</v>
      </c>
      <c r="N48" s="57"/>
      <c r="P48" s="65" t="b">
        <f t="shared" si="1"/>
        <v>0</v>
      </c>
      <c r="Q48" s="65" t="e">
        <f ca="1">MATCH("*",OFFSET(P$4,Q47,0):P$144,0)+Q47</f>
        <v>#N/A</v>
      </c>
      <c r="R48" s="65" t="e">
        <f ca="1" t="shared" si="0"/>
        <v>#N/A</v>
      </c>
    </row>
    <row r="49" spans="1:18" ht="12.75">
      <c r="A49" s="65" t="s">
        <v>850</v>
      </c>
      <c r="B49" s="65" t="s">
        <v>851</v>
      </c>
      <c r="C49" s="65" t="s">
        <v>852</v>
      </c>
      <c r="K49" s="117" t="s">
        <v>690</v>
      </c>
      <c r="L49" s="117"/>
      <c r="M49" s="20">
        <v>0</v>
      </c>
      <c r="N49" s="57"/>
      <c r="P49" s="65" t="b">
        <f t="shared" si="1"/>
        <v>0</v>
      </c>
      <c r="Q49" s="65" t="e">
        <f ca="1">MATCH("*",OFFSET(P$4,Q48,0):P$144,0)+Q48</f>
        <v>#N/A</v>
      </c>
      <c r="R49" s="65" t="e">
        <f ca="1" t="shared" si="0"/>
        <v>#N/A</v>
      </c>
    </row>
    <row r="50" spans="1:18" ht="12.75">
      <c r="A50" s="65" t="b">
        <f>AND(E6="Primary Hand",E13="Off-hand")</f>
        <v>0</v>
      </c>
      <c r="B50" s="65">
        <f>-6+IF(OR(B17="light",B17="double weapon"),2,0)+IF(Feats!H154&gt;0,2,0)</f>
        <v>-6</v>
      </c>
      <c r="C50" s="65">
        <f>-10+IF(OR(B17="light",B17="double weapon"),2,0)+IF(Feats!H154&gt;0,6,0)</f>
        <v>-10</v>
      </c>
      <c r="K50" s="117" t="s">
        <v>691</v>
      </c>
      <c r="L50" s="117"/>
      <c r="M50" s="20">
        <v>1</v>
      </c>
      <c r="N50" s="57"/>
      <c r="P50" s="65" t="b">
        <f t="shared" si="1"/>
        <v>0</v>
      </c>
      <c r="Q50" s="65" t="e">
        <f ca="1">MATCH("*",OFFSET(P$4,Q49,0):P$144,0)+Q49</f>
        <v>#N/A</v>
      </c>
      <c r="R50" s="65" t="e">
        <f ca="1" t="shared" si="0"/>
        <v>#N/A</v>
      </c>
    </row>
    <row r="51" spans="1:18" ht="12.75">
      <c r="A51" s="65" t="b">
        <f>AND(E13="Primary Hand",E20="Off-hand")</f>
        <v>0</v>
      </c>
      <c r="B51" s="65">
        <f>-6+IF(OR(B24="light",B24="double weapon"),2,0)+IF(Feats!H154&gt;0,2,0)</f>
        <v>-6</v>
      </c>
      <c r="C51" s="65">
        <f>-10+IF(OR(B24="light",B24="double weapon"),2,0)+IF(Feats!H154&gt;0,6,0)</f>
        <v>-10</v>
      </c>
      <c r="K51" s="117" t="s">
        <v>692</v>
      </c>
      <c r="L51" s="117"/>
      <c r="M51" s="20">
        <v>4</v>
      </c>
      <c r="N51" s="57"/>
      <c r="P51" s="65" t="b">
        <f t="shared" si="1"/>
        <v>0</v>
      </c>
      <c r="Q51" s="65" t="e">
        <f ca="1">MATCH("*",OFFSET(P$4,Q50,0):P$144,0)+Q50</f>
        <v>#N/A</v>
      </c>
      <c r="R51" s="65" t="e">
        <f ca="1" t="shared" si="0"/>
        <v>#N/A</v>
      </c>
    </row>
    <row r="52" spans="11:18" ht="12.75">
      <c r="K52" s="117" t="s">
        <v>693</v>
      </c>
      <c r="L52" s="117"/>
      <c r="M52" s="20">
        <v>2</v>
      </c>
      <c r="N52" s="57"/>
      <c r="P52" s="65" t="b">
        <f t="shared" si="1"/>
        <v>0</v>
      </c>
      <c r="Q52" s="65" t="e">
        <f ca="1">MATCH("*",OFFSET(P$4,Q51,0):P$144,0)+Q51</f>
        <v>#N/A</v>
      </c>
      <c r="R52" s="65" t="e">
        <f ca="1" t="shared" si="0"/>
        <v>#N/A</v>
      </c>
    </row>
    <row r="53" spans="11:18" ht="12.75">
      <c r="K53" s="117" t="s">
        <v>694</v>
      </c>
      <c r="L53" s="117"/>
      <c r="M53" s="20">
        <v>1</v>
      </c>
      <c r="N53" s="57"/>
      <c r="P53" s="65" t="b">
        <f t="shared" si="1"/>
        <v>0</v>
      </c>
      <c r="Q53" s="65" t="e">
        <f ca="1">MATCH("*",OFFSET(P$4,Q52,0):P$144,0)+Q52</f>
        <v>#N/A</v>
      </c>
      <c r="R53" s="65" t="e">
        <f ca="1" t="shared" si="0"/>
        <v>#N/A</v>
      </c>
    </row>
    <row r="54" spans="11:18" ht="12.75">
      <c r="K54" s="117" t="s">
        <v>695</v>
      </c>
      <c r="L54" s="117"/>
      <c r="M54" s="20">
        <v>10</v>
      </c>
      <c r="N54" s="57"/>
      <c r="P54" s="65" t="b">
        <f t="shared" si="1"/>
        <v>0</v>
      </c>
      <c r="Q54" s="65" t="e">
        <f ca="1">MATCH("*",OFFSET(P$4,Q53,0):P$144,0)+Q53</f>
        <v>#N/A</v>
      </c>
      <c r="R54" s="65" t="e">
        <f ca="1" t="shared" si="0"/>
        <v>#N/A</v>
      </c>
    </row>
    <row r="55" spans="11:18" ht="12.75">
      <c r="K55" s="117" t="s">
        <v>696</v>
      </c>
      <c r="L55" s="117"/>
      <c r="M55" s="20">
        <v>0</v>
      </c>
      <c r="N55" s="57"/>
      <c r="P55" s="65" t="b">
        <f t="shared" si="1"/>
        <v>0</v>
      </c>
      <c r="Q55" s="65" t="e">
        <f ca="1">MATCH("*",OFFSET(P$4,Q54,0):P$144,0)+Q54</f>
        <v>#N/A</v>
      </c>
      <c r="R55" s="65" t="e">
        <f ca="1" t="shared" si="0"/>
        <v>#N/A</v>
      </c>
    </row>
    <row r="56" spans="11:18" ht="12.75">
      <c r="K56" s="117" t="s">
        <v>697</v>
      </c>
      <c r="L56" s="117"/>
      <c r="M56" s="20">
        <v>1</v>
      </c>
      <c r="N56" s="57"/>
      <c r="P56" s="65" t="b">
        <f t="shared" si="1"/>
        <v>0</v>
      </c>
      <c r="Q56" s="65" t="e">
        <f ca="1">MATCH("*",OFFSET(P$4,Q55,0):P$144,0)+Q55</f>
        <v>#N/A</v>
      </c>
      <c r="R56" s="65" t="e">
        <f ca="1" t="shared" si="0"/>
        <v>#N/A</v>
      </c>
    </row>
    <row r="57" spans="11:18" ht="12.75">
      <c r="K57" s="117" t="s">
        <v>698</v>
      </c>
      <c r="L57" s="117"/>
      <c r="M57" s="20">
        <v>2</v>
      </c>
      <c r="N57" s="57"/>
      <c r="P57" s="65" t="b">
        <f t="shared" si="1"/>
        <v>0</v>
      </c>
      <c r="Q57" s="65" t="e">
        <f ca="1">MATCH("*",OFFSET(P$4,Q56,0):P$144,0)+Q56</f>
        <v>#N/A</v>
      </c>
      <c r="R57" s="65" t="e">
        <f ca="1" t="shared" si="0"/>
        <v>#N/A</v>
      </c>
    </row>
    <row r="58" spans="11:18" ht="12.75">
      <c r="K58" s="117" t="s">
        <v>699</v>
      </c>
      <c r="L58" s="117"/>
      <c r="M58" s="20">
        <v>1</v>
      </c>
      <c r="N58" s="57"/>
      <c r="P58" s="65" t="b">
        <f t="shared" si="1"/>
        <v>0</v>
      </c>
      <c r="Q58" s="65" t="e">
        <f ca="1">MATCH("*",OFFSET(P$4,Q57,0):P$144,0)+Q57</f>
        <v>#N/A</v>
      </c>
      <c r="R58" s="65" t="e">
        <f ca="1" t="shared" si="0"/>
        <v>#N/A</v>
      </c>
    </row>
    <row r="59" spans="11:18" ht="12.75">
      <c r="K59" s="117" t="s">
        <v>700</v>
      </c>
      <c r="L59" s="117"/>
      <c r="M59" s="20">
        <v>0.5</v>
      </c>
      <c r="N59" s="57"/>
      <c r="P59" s="65" t="b">
        <f t="shared" si="1"/>
        <v>0</v>
      </c>
      <c r="Q59" s="65" t="e">
        <f ca="1">MATCH("*",OFFSET(P$4,Q58,0):P$144,0)+Q58</f>
        <v>#N/A</v>
      </c>
      <c r="R59" s="65" t="e">
        <f ca="1" t="shared" si="0"/>
        <v>#N/A</v>
      </c>
    </row>
    <row r="60" spans="11:18" ht="12.75">
      <c r="K60" s="117" t="s">
        <v>701</v>
      </c>
      <c r="L60" s="117"/>
      <c r="M60" s="20">
        <v>0</v>
      </c>
      <c r="N60" s="57"/>
      <c r="P60" s="65" t="b">
        <f t="shared" si="1"/>
        <v>0</v>
      </c>
      <c r="Q60" s="65" t="e">
        <f ca="1">MATCH("*",OFFSET(P$4,Q59,0):P$144,0)+Q59</f>
        <v>#N/A</v>
      </c>
      <c r="R60" s="65" t="e">
        <f ca="1" t="shared" si="0"/>
        <v>#N/A</v>
      </c>
    </row>
    <row r="61" spans="11:18" ht="12.75">
      <c r="K61" s="117" t="s">
        <v>702</v>
      </c>
      <c r="L61" s="117"/>
      <c r="M61" s="20">
        <v>0</v>
      </c>
      <c r="N61" s="57"/>
      <c r="P61" s="65" t="b">
        <f t="shared" si="1"/>
        <v>0</v>
      </c>
      <c r="Q61" s="65" t="e">
        <f ca="1">MATCH("*",OFFSET(P$4,Q60,0):P$144,0)+Q60</f>
        <v>#N/A</v>
      </c>
      <c r="R61" s="65" t="e">
        <f ca="1" t="shared" si="0"/>
        <v>#N/A</v>
      </c>
    </row>
    <row r="62" spans="11:18" ht="12.75">
      <c r="K62" s="117" t="s">
        <v>703</v>
      </c>
      <c r="L62" s="117"/>
      <c r="M62" s="20">
        <v>10</v>
      </c>
      <c r="N62" s="57"/>
      <c r="P62" s="65" t="b">
        <f t="shared" si="1"/>
        <v>0</v>
      </c>
      <c r="Q62" s="65" t="e">
        <f ca="1">MATCH("*",OFFSET(P$4,Q61,0):P$144,0)+Q61</f>
        <v>#N/A</v>
      </c>
      <c r="R62" s="65" t="e">
        <f ca="1" t="shared" si="0"/>
        <v>#N/A</v>
      </c>
    </row>
    <row r="63" spans="11:18" ht="12.75">
      <c r="K63" s="117" t="s">
        <v>704</v>
      </c>
      <c r="L63" s="117"/>
      <c r="M63" s="20">
        <v>20</v>
      </c>
      <c r="N63" s="57"/>
      <c r="P63" s="65" t="b">
        <f t="shared" si="1"/>
        <v>0</v>
      </c>
      <c r="Q63" s="65" t="e">
        <f ca="1">MATCH("*",OFFSET(P$4,Q62,0):P$144,0)+Q62</f>
        <v>#N/A</v>
      </c>
      <c r="R63" s="65" t="e">
        <f ca="1" t="shared" si="0"/>
        <v>#N/A</v>
      </c>
    </row>
    <row r="64" spans="11:18" ht="12.75">
      <c r="K64" s="117" t="s">
        <v>705</v>
      </c>
      <c r="L64" s="117"/>
      <c r="M64" s="20">
        <v>0.5</v>
      </c>
      <c r="N64" s="57"/>
      <c r="P64" s="65" t="b">
        <f t="shared" si="1"/>
        <v>0</v>
      </c>
      <c r="Q64" s="65" t="e">
        <f ca="1">MATCH("*",OFFSET(P$4,Q63,0):P$144,0)+Q63</f>
        <v>#N/A</v>
      </c>
      <c r="R64" s="65" t="e">
        <f ca="1" t="shared" si="0"/>
        <v>#N/A</v>
      </c>
    </row>
    <row r="65" spans="11:18" ht="12.75">
      <c r="K65" s="117" t="s">
        <v>706</v>
      </c>
      <c r="L65" s="117"/>
      <c r="M65" s="20">
        <v>0</v>
      </c>
      <c r="N65" s="57"/>
      <c r="P65" s="65" t="b">
        <f t="shared" si="1"/>
        <v>0</v>
      </c>
      <c r="Q65" s="65" t="e">
        <f ca="1">MATCH("*",OFFSET(P$4,Q64,0):P$144,0)+Q64</f>
        <v>#N/A</v>
      </c>
      <c r="R65" s="65" t="e">
        <f ca="1" t="shared" si="0"/>
        <v>#N/A</v>
      </c>
    </row>
    <row r="66" spans="11:18" ht="12.75">
      <c r="K66" s="117" t="s">
        <v>707</v>
      </c>
      <c r="L66" s="117"/>
      <c r="M66" s="20">
        <v>2</v>
      </c>
      <c r="N66" s="57"/>
      <c r="P66" s="65" t="b">
        <f t="shared" si="1"/>
        <v>0</v>
      </c>
      <c r="Q66" s="65" t="e">
        <f ca="1">MATCH("*",OFFSET(P$4,Q65,0):P$144,0)+Q65</f>
        <v>#N/A</v>
      </c>
      <c r="R66" s="65" t="e">
        <f ca="1" t="shared" si="0"/>
        <v>#N/A</v>
      </c>
    </row>
    <row r="67" spans="11:18" ht="12.75">
      <c r="K67" s="117" t="s">
        <v>708</v>
      </c>
      <c r="L67" s="117"/>
      <c r="M67" s="20">
        <v>0.5</v>
      </c>
      <c r="N67" s="57"/>
      <c r="P67" s="65" t="b">
        <f t="shared" si="1"/>
        <v>0</v>
      </c>
      <c r="Q67" s="65" t="e">
        <f ca="1">MATCH("*",OFFSET(P$4,Q66,0):P$144,0)+Q66</f>
        <v>#N/A</v>
      </c>
      <c r="R67" s="65" t="e">
        <f ca="1" t="shared" si="0"/>
        <v>#N/A</v>
      </c>
    </row>
    <row r="68" spans="11:18" ht="12.75">
      <c r="K68" s="117" t="s">
        <v>709</v>
      </c>
      <c r="L68" s="117"/>
      <c r="M68" s="20">
        <v>2</v>
      </c>
      <c r="N68" s="57"/>
      <c r="P68" s="65" t="b">
        <f t="shared" si="1"/>
        <v>0</v>
      </c>
      <c r="Q68" s="65" t="e">
        <f ca="1">MATCH("*",OFFSET(P$4,Q67,0):P$144,0)+Q67</f>
        <v>#N/A</v>
      </c>
      <c r="R68" s="65" t="e">
        <f ca="1" t="shared" si="0"/>
        <v>#N/A</v>
      </c>
    </row>
    <row r="69" spans="11:18" ht="12.75">
      <c r="K69" s="117" t="s">
        <v>710</v>
      </c>
      <c r="L69" s="117"/>
      <c r="M69" s="20">
        <v>1</v>
      </c>
      <c r="N69" s="57"/>
      <c r="P69" s="65" t="b">
        <f t="shared" si="1"/>
        <v>0</v>
      </c>
      <c r="Q69" s="65" t="e">
        <f ca="1">MATCH("*",OFFSET(P$4,Q68,0):P$144,0)+Q68</f>
        <v>#N/A</v>
      </c>
      <c r="R69" s="65" t="e">
        <f aca="true" ca="1" t="shared" si="2" ref="R69:R132">IF(Q69&lt;142,OFFSET(P$3,Q69,0),"")</f>
        <v>#N/A</v>
      </c>
    </row>
    <row r="70" spans="11:18" ht="12.75">
      <c r="K70" s="117" t="s">
        <v>711</v>
      </c>
      <c r="L70" s="117"/>
      <c r="M70" s="20">
        <v>10</v>
      </c>
      <c r="N70" s="57"/>
      <c r="P70" s="65" t="b">
        <f t="shared" si="1"/>
        <v>0</v>
      </c>
      <c r="Q70" s="65" t="e">
        <f ca="1">MATCH("*",OFFSET(P$4,Q69,0):P$144,0)+Q69</f>
        <v>#N/A</v>
      </c>
      <c r="R70" s="65" t="e">
        <f ca="1" t="shared" si="2"/>
        <v>#N/A</v>
      </c>
    </row>
    <row r="71" spans="11:18" ht="12.75">
      <c r="K71" s="117" t="s">
        <v>712</v>
      </c>
      <c r="L71" s="117"/>
      <c r="M71" s="20">
        <f>2/IF(Size="Small",4,1)</f>
        <v>2</v>
      </c>
      <c r="N71" s="57"/>
      <c r="P71" s="65" t="b">
        <f t="shared" si="1"/>
        <v>0</v>
      </c>
      <c r="Q71" s="65" t="e">
        <f ca="1">MATCH("*",OFFSET(P$4,Q70,0):P$144,0)+Q70</f>
        <v>#N/A</v>
      </c>
      <c r="R71" s="65" t="e">
        <f ca="1" t="shared" si="2"/>
        <v>#N/A</v>
      </c>
    </row>
    <row r="72" spans="11:18" ht="12.75">
      <c r="K72" s="117" t="s">
        <v>713</v>
      </c>
      <c r="L72" s="117"/>
      <c r="M72" s="20">
        <v>1</v>
      </c>
      <c r="N72" s="57"/>
      <c r="P72" s="65" t="b">
        <f aca="true" t="shared" si="3" ref="P72:P135">IF(N72&gt;0,K72&amp;IF(N72&gt;1," ("&amp;N72&amp;")",""))</f>
        <v>0</v>
      </c>
      <c r="Q72" s="65" t="e">
        <f ca="1">MATCH("*",OFFSET(P$4,Q71,0):P$144,0)+Q71</f>
        <v>#N/A</v>
      </c>
      <c r="R72" s="65" t="e">
        <f ca="1" t="shared" si="2"/>
        <v>#N/A</v>
      </c>
    </row>
    <row r="73" spans="11:18" ht="12.75">
      <c r="K73" s="117" t="s">
        <v>775</v>
      </c>
      <c r="L73" s="117"/>
      <c r="M73" s="20">
        <f>3/IF(Size="Small",4,1)</f>
        <v>3</v>
      </c>
      <c r="N73" s="57"/>
      <c r="P73" s="65" t="b">
        <f t="shared" si="3"/>
        <v>0</v>
      </c>
      <c r="Q73" s="65" t="e">
        <f ca="1">MATCH("*",OFFSET(P$4,Q72,0):P$144,0)+Q72</f>
        <v>#N/A</v>
      </c>
      <c r="R73" s="65" t="e">
        <f ca="1" t="shared" si="2"/>
        <v>#N/A</v>
      </c>
    </row>
    <row r="74" spans="11:18" ht="12.75">
      <c r="K74" s="117" t="s">
        <v>777</v>
      </c>
      <c r="L74" s="117"/>
      <c r="M74" s="20">
        <f>3/IF(Size="Small",4,1)</f>
        <v>3</v>
      </c>
      <c r="N74" s="57"/>
      <c r="P74" s="65" t="b">
        <f t="shared" si="3"/>
        <v>0</v>
      </c>
      <c r="Q74" s="65" t="e">
        <f ca="1">MATCH("*",OFFSET(P$4,Q73,0):P$144,0)+Q73</f>
        <v>#N/A</v>
      </c>
      <c r="R74" s="65" t="e">
        <f ca="1" t="shared" si="2"/>
        <v>#N/A</v>
      </c>
    </row>
    <row r="75" spans="11:18" ht="12.75">
      <c r="K75" s="117" t="s">
        <v>714</v>
      </c>
      <c r="L75" s="117"/>
      <c r="M75" s="20">
        <f>10/IF(Size="Small",4,1)</f>
        <v>10</v>
      </c>
      <c r="N75" s="57"/>
      <c r="P75" s="65" t="b">
        <f t="shared" si="3"/>
        <v>0</v>
      </c>
      <c r="Q75" s="65" t="e">
        <f ca="1">MATCH("*",OFFSET(P$4,Q74,0):P$144,0)+Q74</f>
        <v>#N/A</v>
      </c>
      <c r="R75" s="65" t="e">
        <f ca="1" t="shared" si="2"/>
        <v>#N/A</v>
      </c>
    </row>
    <row r="76" spans="11:18" ht="12.75">
      <c r="K76" s="117" t="s">
        <v>715</v>
      </c>
      <c r="L76" s="117"/>
      <c r="M76" s="20">
        <v>1</v>
      </c>
      <c r="N76" s="57"/>
      <c r="P76" s="65" t="b">
        <f t="shared" si="3"/>
        <v>0</v>
      </c>
      <c r="Q76" s="65" t="e">
        <f ca="1">MATCH("*",OFFSET(P$4,Q75,0):P$144,0)+Q75</f>
        <v>#N/A</v>
      </c>
      <c r="R76" s="65" t="e">
        <f ca="1" t="shared" si="2"/>
        <v>#N/A</v>
      </c>
    </row>
    <row r="77" spans="11:18" ht="12.75">
      <c r="K77" s="117" t="s">
        <v>716</v>
      </c>
      <c r="L77" s="117"/>
      <c r="M77" s="20">
        <v>0</v>
      </c>
      <c r="N77" s="57"/>
      <c r="P77" s="65" t="b">
        <f t="shared" si="3"/>
        <v>0</v>
      </c>
      <c r="Q77" s="65" t="e">
        <f ca="1">MATCH("*",OFFSET(P$4,Q76,0):P$144,0)+Q76</f>
        <v>#N/A</v>
      </c>
      <c r="R77" s="65" t="e">
        <f ca="1" t="shared" si="2"/>
        <v>#N/A</v>
      </c>
    </row>
    <row r="78" spans="11:18" ht="12.75">
      <c r="K78" s="117" t="s">
        <v>717</v>
      </c>
      <c r="L78" s="117"/>
      <c r="M78" s="20">
        <v>0</v>
      </c>
      <c r="N78" s="57"/>
      <c r="P78" s="65" t="b">
        <f t="shared" si="3"/>
        <v>0</v>
      </c>
      <c r="Q78" s="65" t="e">
        <f ca="1">MATCH("*",OFFSET(P$4,Q77,0):P$144,0)+Q77</f>
        <v>#N/A</v>
      </c>
      <c r="R78" s="65" t="e">
        <f ca="1" t="shared" si="2"/>
        <v>#N/A</v>
      </c>
    </row>
    <row r="79" spans="11:18" ht="12.75">
      <c r="K79" s="117" t="s">
        <v>718</v>
      </c>
      <c r="L79" s="117"/>
      <c r="M79" s="20">
        <f>2/IF(Size="Small",4,1)</f>
        <v>2</v>
      </c>
      <c r="N79" s="57"/>
      <c r="P79" s="65" t="b">
        <f t="shared" si="3"/>
        <v>0</v>
      </c>
      <c r="Q79" s="65" t="e">
        <f ca="1">MATCH("*",OFFSET(P$4,Q78,0):P$144,0)+Q78</f>
        <v>#N/A</v>
      </c>
      <c r="R79" s="65" t="e">
        <f ca="1" t="shared" si="2"/>
        <v>#N/A</v>
      </c>
    </row>
    <row r="80" spans="11:18" ht="12.75">
      <c r="K80" s="117" t="s">
        <v>719</v>
      </c>
      <c r="L80" s="117"/>
      <c r="M80" s="20">
        <v>6</v>
      </c>
      <c r="N80" s="57"/>
      <c r="P80" s="65" t="b">
        <f t="shared" si="3"/>
        <v>0</v>
      </c>
      <c r="Q80" s="65" t="e">
        <f ca="1">MATCH("*",OFFSET(P$4,Q79,0):P$144,0)+Q79</f>
        <v>#N/A</v>
      </c>
      <c r="R80" s="65" t="e">
        <f ca="1" t="shared" si="2"/>
        <v>#N/A</v>
      </c>
    </row>
    <row r="81" spans="11:18" ht="12.75">
      <c r="K81" s="117" t="s">
        <v>720</v>
      </c>
      <c r="L81" s="117"/>
      <c r="M81" s="20">
        <v>0.5</v>
      </c>
      <c r="N81" s="57"/>
      <c r="P81" s="65" t="b">
        <f t="shared" si="3"/>
        <v>0</v>
      </c>
      <c r="Q81" s="65" t="e">
        <f ca="1">MATCH("*",OFFSET(P$4,Q80,0):P$144,0)+Q80</f>
        <v>#N/A</v>
      </c>
      <c r="R81" s="65" t="e">
        <f ca="1" t="shared" si="2"/>
        <v>#N/A</v>
      </c>
    </row>
    <row r="82" spans="11:18" ht="12.75">
      <c r="K82" s="117" t="s">
        <v>721</v>
      </c>
      <c r="L82" s="117"/>
      <c r="M82" s="20">
        <v>20</v>
      </c>
      <c r="N82" s="57"/>
      <c r="P82" s="65" t="b">
        <f t="shared" si="3"/>
        <v>0</v>
      </c>
      <c r="Q82" s="65" t="e">
        <f ca="1">MATCH("*",OFFSET(P$4,Q81,0):P$144,0)+Q81</f>
        <v>#N/A</v>
      </c>
      <c r="R82" s="65" t="e">
        <f ca="1" t="shared" si="2"/>
        <v>#N/A</v>
      </c>
    </row>
    <row r="83" spans="11:18" ht="12.75">
      <c r="K83" s="117" t="s">
        <v>722</v>
      </c>
      <c r="L83" s="117"/>
      <c r="M83" s="20">
        <f>15/IF(Size="Small",4,1)</f>
        <v>15</v>
      </c>
      <c r="N83" s="57"/>
      <c r="P83" s="65" t="b">
        <f t="shared" si="3"/>
        <v>0</v>
      </c>
      <c r="Q83" s="65" t="e">
        <f ca="1">MATCH("*",OFFSET(P$4,Q82,0):P$144,0)+Q82</f>
        <v>#N/A</v>
      </c>
      <c r="R83" s="65" t="e">
        <f ca="1" t="shared" si="2"/>
        <v>#N/A</v>
      </c>
    </row>
    <row r="84" spans="11:18" ht="12.75">
      <c r="K84" s="117" t="s">
        <v>723</v>
      </c>
      <c r="L84" s="117"/>
      <c r="M84" s="20">
        <f>0.5/IF(Size="Small",4,1)</f>
        <v>0.5</v>
      </c>
      <c r="N84" s="57"/>
      <c r="P84" s="65" t="b">
        <f t="shared" si="3"/>
        <v>0</v>
      </c>
      <c r="Q84" s="65" t="e">
        <f ca="1">MATCH("*",OFFSET(P$4,Q83,0):P$144,0)+Q83</f>
        <v>#N/A</v>
      </c>
      <c r="R84" s="65" t="e">
        <f ca="1" t="shared" si="2"/>
        <v>#N/A</v>
      </c>
    </row>
    <row r="85" spans="11:18" ht="12.75">
      <c r="K85" s="117" t="s">
        <v>724</v>
      </c>
      <c r="L85" s="117"/>
      <c r="M85" s="20">
        <f>6/IF(Size="Small",4,1)</f>
        <v>6</v>
      </c>
      <c r="N85" s="57"/>
      <c r="P85" s="65" t="b">
        <f t="shared" si="3"/>
        <v>0</v>
      </c>
      <c r="Q85" s="65" t="e">
        <f ca="1">MATCH("*",OFFSET(P$4,Q84,0):P$144,0)+Q84</f>
        <v>#N/A</v>
      </c>
      <c r="R85" s="65" t="e">
        <f ca="1" t="shared" si="2"/>
        <v>#N/A</v>
      </c>
    </row>
    <row r="86" spans="11:18" ht="12.75">
      <c r="K86" s="117" t="s">
        <v>725</v>
      </c>
      <c r="L86" s="117"/>
      <c r="M86" s="20">
        <v>0.5</v>
      </c>
      <c r="N86" s="57"/>
      <c r="P86" s="65" t="b">
        <f t="shared" si="3"/>
        <v>0</v>
      </c>
      <c r="Q86" s="65" t="e">
        <f ca="1">MATCH("*",OFFSET(P$4,Q85,0):P$144,0)+Q85</f>
        <v>#N/A</v>
      </c>
      <c r="R86" s="65" t="e">
        <f ca="1" t="shared" si="2"/>
        <v>#N/A</v>
      </c>
    </row>
    <row r="87" spans="11:18" ht="12.75">
      <c r="K87" s="117" t="s">
        <v>726</v>
      </c>
      <c r="L87" s="117"/>
      <c r="M87" s="20">
        <v>1</v>
      </c>
      <c r="N87" s="57"/>
      <c r="P87" s="65" t="b">
        <f t="shared" si="3"/>
        <v>0</v>
      </c>
      <c r="Q87" s="65" t="e">
        <f ca="1">MATCH("*",OFFSET(P$4,Q86,0):P$144,0)+Q86</f>
        <v>#N/A</v>
      </c>
      <c r="R87" s="65" t="e">
        <f ca="1" t="shared" si="2"/>
        <v>#N/A</v>
      </c>
    </row>
    <row r="88" spans="11:18" ht="12.75">
      <c r="K88" s="117" t="s">
        <v>727</v>
      </c>
      <c r="L88" s="117"/>
      <c r="M88" s="20">
        <v>0</v>
      </c>
      <c r="N88" s="57"/>
      <c r="P88" s="65" t="b">
        <f t="shared" si="3"/>
        <v>0</v>
      </c>
      <c r="Q88" s="65" t="e">
        <f ca="1">MATCH("*",OFFSET(P$4,Q87,0):P$144,0)+Q87</f>
        <v>#N/A</v>
      </c>
      <c r="R88" s="65" t="e">
        <f ca="1" t="shared" si="2"/>
        <v>#N/A</v>
      </c>
    </row>
    <row r="89" spans="11:18" ht="12.75">
      <c r="K89" s="117" t="s">
        <v>728</v>
      </c>
      <c r="L89" s="117"/>
      <c r="M89" s="20">
        <v>8</v>
      </c>
      <c r="N89" s="57"/>
      <c r="P89" s="65" t="b">
        <f t="shared" si="3"/>
        <v>0</v>
      </c>
      <c r="Q89" s="65" t="e">
        <f ca="1">MATCH("*",OFFSET(P$4,Q88,0):P$144,0)+Q88</f>
        <v>#N/A</v>
      </c>
      <c r="R89" s="65" t="e">
        <f ca="1" t="shared" si="2"/>
        <v>#N/A</v>
      </c>
    </row>
    <row r="90" spans="11:18" ht="12.75">
      <c r="K90" s="117" t="s">
        <v>729</v>
      </c>
      <c r="L90" s="117"/>
      <c r="M90" s="20">
        <v>0</v>
      </c>
      <c r="N90" s="57"/>
      <c r="P90" s="65" t="b">
        <f t="shared" si="3"/>
        <v>0</v>
      </c>
      <c r="Q90" s="65" t="e">
        <f ca="1">MATCH("*",OFFSET(P$4,Q89,0):P$144,0)+Q89</f>
        <v>#N/A</v>
      </c>
      <c r="R90" s="65" t="e">
        <f ca="1" t="shared" si="2"/>
        <v>#N/A</v>
      </c>
    </row>
    <row r="91" spans="11:18" ht="12.75">
      <c r="K91" s="117" t="s">
        <v>730</v>
      </c>
      <c r="L91" s="117"/>
      <c r="M91" s="20">
        <v>0</v>
      </c>
      <c r="N91" s="57"/>
      <c r="P91" s="65" t="b">
        <f t="shared" si="3"/>
        <v>0</v>
      </c>
      <c r="Q91" s="65" t="e">
        <f ca="1">MATCH("*",OFFSET(P$4,Q90,0):P$144,0)+Q90</f>
        <v>#N/A</v>
      </c>
      <c r="R91" s="65" t="e">
        <f ca="1" t="shared" si="2"/>
        <v>#N/A</v>
      </c>
    </row>
    <row r="92" spans="11:18" ht="12.75">
      <c r="K92" s="117" t="s">
        <v>731</v>
      </c>
      <c r="L92" s="117"/>
      <c r="M92" s="20">
        <v>5</v>
      </c>
      <c r="N92" s="57"/>
      <c r="P92" s="65" t="b">
        <f t="shared" si="3"/>
        <v>0</v>
      </c>
      <c r="Q92" s="65" t="e">
        <f ca="1">MATCH("*",OFFSET(P$4,Q91,0):P$144,0)+Q91</f>
        <v>#N/A</v>
      </c>
      <c r="R92" s="65" t="e">
        <f ca="1" t="shared" si="2"/>
        <v>#N/A</v>
      </c>
    </row>
    <row r="93" spans="11:18" ht="12.75">
      <c r="K93" s="117" t="s">
        <v>732</v>
      </c>
      <c r="L93" s="117"/>
      <c r="M93" s="20">
        <v>1</v>
      </c>
      <c r="N93" s="57"/>
      <c r="P93" s="65" t="b">
        <f t="shared" si="3"/>
        <v>0</v>
      </c>
      <c r="Q93" s="65" t="e">
        <f ca="1">MATCH("*",OFFSET(P$4,Q92,0):P$144,0)+Q92</f>
        <v>#N/A</v>
      </c>
      <c r="R93" s="65" t="e">
        <f ca="1" t="shared" si="2"/>
        <v>#N/A</v>
      </c>
    </row>
    <row r="94" spans="11:18" ht="12.75">
      <c r="K94" s="117" t="s">
        <v>733</v>
      </c>
      <c r="L94" s="117"/>
      <c r="M94" s="20">
        <v>10</v>
      </c>
      <c r="N94" s="57"/>
      <c r="P94" s="65" t="b">
        <f t="shared" si="3"/>
        <v>0</v>
      </c>
      <c r="Q94" s="65" t="e">
        <f ca="1">MATCH("*",OFFSET(P$4,Q93,0):P$144,0)+Q93</f>
        <v>#N/A</v>
      </c>
      <c r="R94" s="65" t="e">
        <f ca="1" t="shared" si="2"/>
        <v>#N/A</v>
      </c>
    </row>
    <row r="95" spans="11:18" ht="12.75">
      <c r="K95" s="117" t="s">
        <v>734</v>
      </c>
      <c r="L95" s="117"/>
      <c r="M95" s="20">
        <v>0.5</v>
      </c>
      <c r="N95" s="57"/>
      <c r="P95" s="65" t="b">
        <f t="shared" si="3"/>
        <v>0</v>
      </c>
      <c r="Q95" s="65" t="e">
        <f ca="1">MATCH("*",OFFSET(P$4,Q94,0):P$144,0)+Q94</f>
        <v>#N/A</v>
      </c>
      <c r="R95" s="65" t="e">
        <f ca="1" t="shared" si="2"/>
        <v>#N/A</v>
      </c>
    </row>
    <row r="96" spans="11:18" ht="12.75">
      <c r="K96" s="117" t="s">
        <v>735</v>
      </c>
      <c r="L96" s="117"/>
      <c r="M96" s="20">
        <v>0.5</v>
      </c>
      <c r="N96" s="57"/>
      <c r="P96" s="65" t="b">
        <f t="shared" si="3"/>
        <v>0</v>
      </c>
      <c r="Q96" s="65" t="e">
        <f ca="1">MATCH("*",OFFSET(P$4,Q95,0):P$144,0)+Q95</f>
        <v>#N/A</v>
      </c>
      <c r="R96" s="65" t="e">
        <f ca="1" t="shared" si="2"/>
        <v>#N/A</v>
      </c>
    </row>
    <row r="97" spans="11:18" ht="12.75">
      <c r="K97" s="117" t="s">
        <v>736</v>
      </c>
      <c r="L97" s="117"/>
      <c r="M97" s="20">
        <v>1</v>
      </c>
      <c r="N97" s="57"/>
      <c r="P97" s="65" t="b">
        <f t="shared" si="3"/>
        <v>0</v>
      </c>
      <c r="Q97" s="65" t="e">
        <f ca="1">MATCH("*",OFFSET(P$4,Q96,0):P$144,0)+Q96</f>
        <v>#N/A</v>
      </c>
      <c r="R97" s="65" t="e">
        <f ca="1" t="shared" si="2"/>
        <v>#N/A</v>
      </c>
    </row>
    <row r="98" spans="11:18" ht="12.75">
      <c r="K98" s="117" t="s">
        <v>737</v>
      </c>
      <c r="L98" s="117"/>
      <c r="M98" s="20">
        <v>8</v>
      </c>
      <c r="N98" s="57"/>
      <c r="P98" s="65" t="b">
        <f t="shared" si="3"/>
        <v>0</v>
      </c>
      <c r="Q98" s="65" t="e">
        <f ca="1">MATCH("*",OFFSET(P$4,Q97,0):P$144,0)+Q97</f>
        <v>#N/A</v>
      </c>
      <c r="R98" s="65" t="e">
        <f ca="1" t="shared" si="2"/>
        <v>#N/A</v>
      </c>
    </row>
    <row r="99" spans="11:18" ht="12.75">
      <c r="K99" s="117" t="s">
        <v>738</v>
      </c>
      <c r="L99" s="117"/>
      <c r="M99" s="20">
        <v>2</v>
      </c>
      <c r="N99" s="57"/>
      <c r="P99" s="65" t="b">
        <f t="shared" si="3"/>
        <v>0</v>
      </c>
      <c r="Q99" s="65" t="e">
        <f ca="1">MATCH("*",OFFSET(P$4,Q98,0):P$144,0)+Q98</f>
        <v>#N/A</v>
      </c>
      <c r="R99" s="65" t="e">
        <f ca="1" t="shared" si="2"/>
        <v>#N/A</v>
      </c>
    </row>
    <row r="100" spans="11:18" ht="12.75">
      <c r="K100" s="117" t="s">
        <v>739</v>
      </c>
      <c r="L100" s="117"/>
      <c r="M100" s="20">
        <v>3</v>
      </c>
      <c r="N100" s="57"/>
      <c r="P100" s="65" t="b">
        <f t="shared" si="3"/>
        <v>0</v>
      </c>
      <c r="Q100" s="65" t="e">
        <f ca="1">MATCH("*",OFFSET(P$4,Q99,0):P$144,0)+Q99</f>
        <v>#N/A</v>
      </c>
      <c r="R100" s="65" t="e">
        <f ca="1" t="shared" si="2"/>
        <v>#N/A</v>
      </c>
    </row>
    <row r="101" spans="11:18" ht="12.75">
      <c r="K101" s="117" t="s">
        <v>740</v>
      </c>
      <c r="L101" s="117"/>
      <c r="M101" s="20">
        <v>1</v>
      </c>
      <c r="N101" s="57"/>
      <c r="P101" s="65" t="b">
        <f t="shared" si="3"/>
        <v>0</v>
      </c>
      <c r="Q101" s="65" t="e">
        <f ca="1">MATCH("*",OFFSET(P$4,Q100,0):P$144,0)+Q100</f>
        <v>#N/A</v>
      </c>
      <c r="R101" s="65" t="e">
        <f ca="1" t="shared" si="2"/>
        <v>#N/A</v>
      </c>
    </row>
    <row r="102" spans="11:18" ht="12.75">
      <c r="K102" s="117" t="s">
        <v>741</v>
      </c>
      <c r="L102" s="117"/>
      <c r="M102" s="20">
        <v>1</v>
      </c>
      <c r="N102" s="57"/>
      <c r="P102" s="65" t="b">
        <f t="shared" si="3"/>
        <v>0</v>
      </c>
      <c r="Q102" s="65" t="e">
        <f ca="1">MATCH("*",OFFSET(P$4,Q101,0):P$144,0)+Q101</f>
        <v>#N/A</v>
      </c>
      <c r="R102" s="65" t="e">
        <f ca="1" t="shared" si="2"/>
        <v>#N/A</v>
      </c>
    </row>
    <row r="103" spans="11:18" ht="12.75">
      <c r="K103" s="117" t="s">
        <v>742</v>
      </c>
      <c r="L103" s="117"/>
      <c r="M103" s="20">
        <v>4</v>
      </c>
      <c r="N103" s="57"/>
      <c r="P103" s="65" t="b">
        <f t="shared" si="3"/>
        <v>0</v>
      </c>
      <c r="Q103" s="65" t="e">
        <f ca="1">MATCH("*",OFFSET(P$4,Q102,0):P$144,0)+Q102</f>
        <v>#N/A</v>
      </c>
      <c r="R103" s="65" t="e">
        <f ca="1" t="shared" si="2"/>
        <v>#N/A</v>
      </c>
    </row>
    <row r="104" spans="11:18" ht="12.75">
      <c r="K104" s="117" t="s">
        <v>743</v>
      </c>
      <c r="L104" s="117"/>
      <c r="M104" s="20">
        <f>20/IF(Size="Small",4,1)</f>
        <v>20</v>
      </c>
      <c r="N104" s="57"/>
      <c r="P104" s="65" t="b">
        <f t="shared" si="3"/>
        <v>0</v>
      </c>
      <c r="Q104" s="65" t="e">
        <f ca="1">MATCH("*",OFFSET(P$4,Q103,0):P$144,0)+Q103</f>
        <v>#N/A</v>
      </c>
      <c r="R104" s="65" t="e">
        <f ca="1" t="shared" si="2"/>
        <v>#N/A</v>
      </c>
    </row>
    <row r="105" spans="11:18" ht="12.75">
      <c r="K105" s="117" t="s">
        <v>778</v>
      </c>
      <c r="L105" s="117"/>
      <c r="M105" s="20">
        <v>2</v>
      </c>
      <c r="N105" s="57"/>
      <c r="P105" s="65" t="b">
        <f t="shared" si="3"/>
        <v>0</v>
      </c>
      <c r="Q105" s="65" t="e">
        <f ca="1">MATCH("*",OFFSET(P$4,Q104,0):P$144,0)+Q104</f>
        <v>#N/A</v>
      </c>
      <c r="R105" s="65" t="e">
        <f ca="1" t="shared" si="2"/>
        <v>#N/A</v>
      </c>
    </row>
    <row r="106" spans="11:18" ht="12.75">
      <c r="K106" s="117" t="s">
        <v>744</v>
      </c>
      <c r="L106" s="117"/>
      <c r="M106" s="20">
        <v>1</v>
      </c>
      <c r="N106" s="57"/>
      <c r="P106" s="65" t="b">
        <f t="shared" si="3"/>
        <v>0</v>
      </c>
      <c r="Q106" s="65" t="e">
        <f ca="1">MATCH("*",OFFSET(P$4,Q105,0):P$144,0)+Q105</f>
        <v>#N/A</v>
      </c>
      <c r="R106" s="65" t="e">
        <f ca="1" t="shared" si="2"/>
        <v>#N/A</v>
      </c>
    </row>
    <row r="107" spans="11:18" ht="12.75">
      <c r="K107" s="117" t="s">
        <v>745</v>
      </c>
      <c r="L107" s="117"/>
      <c r="M107" s="20">
        <v>1</v>
      </c>
      <c r="N107" s="57"/>
      <c r="P107" s="65" t="b">
        <f t="shared" si="3"/>
        <v>0</v>
      </c>
      <c r="Q107" s="65" t="e">
        <f ca="1">MATCH("*",OFFSET(P$4,Q106,0):P$144,0)+Q106</f>
        <v>#N/A</v>
      </c>
      <c r="R107" s="65" t="e">
        <f ca="1" t="shared" si="2"/>
        <v>#N/A</v>
      </c>
    </row>
    <row r="108" spans="11:18" ht="12.75">
      <c r="K108" s="117" t="s">
        <v>746</v>
      </c>
      <c r="L108" s="117"/>
      <c r="M108" s="20">
        <v>0</v>
      </c>
      <c r="N108" s="57"/>
      <c r="P108" s="65" t="b">
        <f t="shared" si="3"/>
        <v>0</v>
      </c>
      <c r="Q108" s="65" t="e">
        <f ca="1">MATCH("*",OFFSET(P$4,Q107,0):P$144,0)+Q107</f>
        <v>#N/A</v>
      </c>
      <c r="R108" s="65" t="e">
        <f ca="1" t="shared" si="2"/>
        <v>#N/A</v>
      </c>
    </row>
    <row r="109" spans="11:18" ht="12.75">
      <c r="K109" s="117" t="s">
        <v>779</v>
      </c>
      <c r="L109" s="117"/>
      <c r="M109" s="20">
        <v>1</v>
      </c>
      <c r="N109" s="57"/>
      <c r="P109" s="65" t="b">
        <f t="shared" si="3"/>
        <v>0</v>
      </c>
      <c r="Q109" s="65" t="e">
        <f ca="1">MATCH("*",OFFSET(P$4,Q108,0):P$144,0)+Q108</f>
        <v>#N/A</v>
      </c>
      <c r="R109" s="65" t="e">
        <f ca="1" t="shared" si="2"/>
        <v>#N/A</v>
      </c>
    </row>
    <row r="110" spans="11:18" ht="12.75">
      <c r="K110" s="117" t="s">
        <v>747</v>
      </c>
      <c r="L110" s="117"/>
      <c r="M110" s="20">
        <v>1</v>
      </c>
      <c r="N110" s="57"/>
      <c r="P110" s="65" t="b">
        <f t="shared" si="3"/>
        <v>0</v>
      </c>
      <c r="Q110" s="65" t="e">
        <f ca="1">MATCH("*",OFFSET(P$4,Q109,0):P$144,0)+Q109</f>
        <v>#N/A</v>
      </c>
      <c r="R110" s="65" t="e">
        <f ca="1" t="shared" si="2"/>
        <v>#N/A</v>
      </c>
    </row>
    <row r="111" spans="11:18" ht="12.75">
      <c r="K111" s="117" t="s">
        <v>748</v>
      </c>
      <c r="L111" s="117"/>
      <c r="M111" s="20">
        <f>1/IF(Size="Small",4,1)</f>
        <v>1</v>
      </c>
      <c r="N111" s="57"/>
      <c r="P111" s="65" t="b">
        <f t="shared" si="3"/>
        <v>0</v>
      </c>
      <c r="Q111" s="65" t="e">
        <f ca="1">MATCH("*",OFFSET(P$4,Q110,0):P$144,0)+Q110</f>
        <v>#N/A</v>
      </c>
      <c r="R111" s="65" t="e">
        <f ca="1" t="shared" si="2"/>
        <v>#N/A</v>
      </c>
    </row>
    <row r="112" spans="11:18" ht="12.75">
      <c r="K112" s="117" t="s">
        <v>749</v>
      </c>
      <c r="L112" s="117"/>
      <c r="M112" s="20">
        <f>5/IF(Size="Small",4,1)</f>
        <v>5</v>
      </c>
      <c r="N112" s="57"/>
      <c r="P112" s="65" t="b">
        <f t="shared" si="3"/>
        <v>0</v>
      </c>
      <c r="Q112" s="65" t="e">
        <f ca="1">MATCH("*",OFFSET(P$4,Q111,0):P$144,0)+Q111</f>
        <v>#N/A</v>
      </c>
      <c r="R112" s="65" t="e">
        <f ca="1" t="shared" si="2"/>
        <v>#N/A</v>
      </c>
    </row>
    <row r="113" spans="11:18" ht="12.75">
      <c r="K113" s="117" t="s">
        <v>750</v>
      </c>
      <c r="L113" s="117"/>
      <c r="M113" s="20">
        <v>1</v>
      </c>
      <c r="N113" s="57"/>
      <c r="P113" s="65" t="b">
        <f t="shared" si="3"/>
        <v>0</v>
      </c>
      <c r="Q113" s="65" t="e">
        <f ca="1">MATCH("*",OFFSET(P$4,Q112,0):P$144,0)+Q112</f>
        <v>#N/A</v>
      </c>
      <c r="R113" s="65" t="e">
        <f ca="1" t="shared" si="2"/>
        <v>#N/A</v>
      </c>
    </row>
    <row r="114" spans="11:18" ht="12.75">
      <c r="K114" s="117" t="s">
        <v>751</v>
      </c>
      <c r="L114" s="117"/>
      <c r="M114" s="20">
        <v>0.1</v>
      </c>
      <c r="N114" s="57"/>
      <c r="P114" s="65" t="b">
        <f t="shared" si="3"/>
        <v>0</v>
      </c>
      <c r="Q114" s="65" t="e">
        <f ca="1">MATCH("*",OFFSET(P$4,Q113,0):P$144,0)+Q113</f>
        <v>#N/A</v>
      </c>
      <c r="R114" s="65" t="e">
        <f ca="1" t="shared" si="2"/>
        <v>#N/A</v>
      </c>
    </row>
    <row r="115" spans="11:18" ht="12.75">
      <c r="K115" s="117" t="s">
        <v>752</v>
      </c>
      <c r="L115" s="117"/>
      <c r="M115" s="20">
        <v>200</v>
      </c>
      <c r="N115" s="57"/>
      <c r="P115" s="65" t="b">
        <f t="shared" si="3"/>
        <v>0</v>
      </c>
      <c r="Q115" s="65" t="e">
        <f ca="1">MATCH("*",OFFSET(P$4,Q114,0):P$144,0)+Q114</f>
        <v>#N/A</v>
      </c>
      <c r="R115" s="65" t="e">
        <f ca="1" t="shared" si="2"/>
        <v>#N/A</v>
      </c>
    </row>
    <row r="116" spans="11:18" ht="12.75">
      <c r="K116" s="117" t="s">
        <v>753</v>
      </c>
      <c r="L116" s="117"/>
      <c r="M116" s="20">
        <f>4/IF(Size="Small",4,1)</f>
        <v>4</v>
      </c>
      <c r="N116" s="57"/>
      <c r="P116" s="65" t="b">
        <f t="shared" si="3"/>
        <v>0</v>
      </c>
      <c r="Q116" s="65" t="e">
        <f ca="1">MATCH("*",OFFSET(P$4,Q115,0):P$144,0)+Q115</f>
        <v>#N/A</v>
      </c>
      <c r="R116" s="65" t="e">
        <f ca="1" t="shared" si="2"/>
        <v>#N/A</v>
      </c>
    </row>
    <row r="117" spans="11:18" ht="12.75">
      <c r="K117" s="117" t="s">
        <v>754</v>
      </c>
      <c r="L117" s="117"/>
      <c r="M117" s="20">
        <v>1</v>
      </c>
      <c r="N117" s="57"/>
      <c r="P117" s="65" t="b">
        <f t="shared" si="3"/>
        <v>0</v>
      </c>
      <c r="Q117" s="65" t="e">
        <f ca="1">MATCH("*",OFFSET(P$4,Q116,0):P$144,0)+Q116</f>
        <v>#N/A</v>
      </c>
      <c r="R117" s="65" t="e">
        <f ca="1" t="shared" si="2"/>
        <v>#N/A</v>
      </c>
    </row>
    <row r="118" spans="11:18" ht="12.75">
      <c r="K118" s="117" t="s">
        <v>755</v>
      </c>
      <c r="L118" s="117"/>
      <c r="M118" s="20">
        <f>3/IF(Size="Small",4,1)</f>
        <v>3</v>
      </c>
      <c r="N118" s="57"/>
      <c r="P118" s="65" t="b">
        <f t="shared" si="3"/>
        <v>0</v>
      </c>
      <c r="Q118" s="65" t="e">
        <f ca="1">MATCH("*",OFFSET(P$4,Q117,0):P$144,0)+Q117</f>
        <v>#N/A</v>
      </c>
      <c r="R118" s="65" t="e">
        <f ca="1" t="shared" si="2"/>
        <v>#N/A</v>
      </c>
    </row>
    <row r="119" spans="11:18" ht="12.75">
      <c r="K119" s="117" t="s">
        <v>756</v>
      </c>
      <c r="L119" s="117"/>
      <c r="M119" s="20">
        <v>0</v>
      </c>
      <c r="N119" s="57"/>
      <c r="P119" s="65" t="b">
        <f t="shared" si="3"/>
        <v>0</v>
      </c>
      <c r="Q119" s="65" t="e">
        <f ca="1">MATCH("*",OFFSET(P$4,Q118,0):P$144,0)+Q118</f>
        <v>#N/A</v>
      </c>
      <c r="R119" s="65" t="e">
        <f ca="1" t="shared" si="2"/>
        <v>#N/A</v>
      </c>
    </row>
    <row r="120" spans="8:18" ht="12.75">
      <c r="H120" s="108" t="s">
        <v>783</v>
      </c>
      <c r="I120" s="108"/>
      <c r="J120" s="139"/>
      <c r="K120" s="138"/>
      <c r="L120" s="138"/>
      <c r="M120" s="26"/>
      <c r="N120" s="57"/>
      <c r="P120" s="65" t="b">
        <f t="shared" si="3"/>
        <v>0</v>
      </c>
      <c r="Q120" s="65" t="e">
        <f ca="1">MATCH("*",OFFSET(P$4,Q119,0):P$144,0)+Q119</f>
        <v>#N/A</v>
      </c>
      <c r="R120" s="65" t="e">
        <f ca="1" t="shared" si="2"/>
        <v>#N/A</v>
      </c>
    </row>
    <row r="121" spans="11:18" ht="12.75">
      <c r="K121" s="138"/>
      <c r="L121" s="138"/>
      <c r="M121" s="26"/>
      <c r="N121" s="57"/>
      <c r="P121" s="65" t="b">
        <f t="shared" si="3"/>
        <v>0</v>
      </c>
      <c r="Q121" s="65" t="e">
        <f ca="1">MATCH("*",OFFSET(P$4,Q120,0):P$144,0)+Q120</f>
        <v>#N/A</v>
      </c>
      <c r="R121" s="65" t="e">
        <f ca="1" t="shared" si="2"/>
        <v>#N/A</v>
      </c>
    </row>
    <row r="122" spans="11:18" ht="12.75">
      <c r="K122" s="138"/>
      <c r="L122" s="138"/>
      <c r="M122" s="26"/>
      <c r="N122" s="57"/>
      <c r="P122" s="65" t="b">
        <f t="shared" si="3"/>
        <v>0</v>
      </c>
      <c r="Q122" s="65" t="e">
        <f ca="1">MATCH("*",OFFSET(P$4,Q121,0):P$144,0)+Q121</f>
        <v>#N/A</v>
      </c>
      <c r="R122" s="65" t="e">
        <f ca="1" t="shared" si="2"/>
        <v>#N/A</v>
      </c>
    </row>
    <row r="123" spans="11:18" ht="12.75">
      <c r="K123" s="138"/>
      <c r="L123" s="138"/>
      <c r="M123" s="26"/>
      <c r="N123" s="57"/>
      <c r="P123" s="65" t="b">
        <f t="shared" si="3"/>
        <v>0</v>
      </c>
      <c r="Q123" s="65" t="e">
        <f ca="1">MATCH("*",OFFSET(P$4,Q122,0):P$144,0)+Q122</f>
        <v>#N/A</v>
      </c>
      <c r="R123" s="65" t="e">
        <f ca="1" t="shared" si="2"/>
        <v>#N/A</v>
      </c>
    </row>
    <row r="124" spans="11:18" ht="12.75">
      <c r="K124" s="138"/>
      <c r="L124" s="138"/>
      <c r="M124" s="26"/>
      <c r="N124" s="57"/>
      <c r="P124" s="65" t="b">
        <f t="shared" si="3"/>
        <v>0</v>
      </c>
      <c r="Q124" s="65" t="e">
        <f ca="1">MATCH("*",OFFSET(P$4,Q123,0):P$144,0)+Q123</f>
        <v>#N/A</v>
      </c>
      <c r="R124" s="65" t="e">
        <f ca="1" t="shared" si="2"/>
        <v>#N/A</v>
      </c>
    </row>
    <row r="125" spans="11:18" ht="12.75">
      <c r="K125" s="138"/>
      <c r="L125" s="138"/>
      <c r="M125" s="26"/>
      <c r="N125" s="57"/>
      <c r="P125" s="65" t="b">
        <f t="shared" si="3"/>
        <v>0</v>
      </c>
      <c r="Q125" s="65" t="e">
        <f ca="1">MATCH("*",OFFSET(P$4,Q124,0):P$144,0)+Q124</f>
        <v>#N/A</v>
      </c>
      <c r="R125" s="65" t="e">
        <f ca="1" t="shared" si="2"/>
        <v>#N/A</v>
      </c>
    </row>
    <row r="126" spans="11:18" ht="12.75">
      <c r="K126" s="138"/>
      <c r="L126" s="138"/>
      <c r="M126" s="26"/>
      <c r="N126" s="57"/>
      <c r="P126" s="65" t="b">
        <f t="shared" si="3"/>
        <v>0</v>
      </c>
      <c r="Q126" s="65" t="e">
        <f ca="1">MATCH("*",OFFSET(P$4,Q125,0):P$144,0)+Q125</f>
        <v>#N/A</v>
      </c>
      <c r="R126" s="65" t="e">
        <f ca="1" t="shared" si="2"/>
        <v>#N/A</v>
      </c>
    </row>
    <row r="127" spans="11:18" ht="12.75">
      <c r="K127" s="138"/>
      <c r="L127" s="138"/>
      <c r="M127" s="26"/>
      <c r="N127" s="57"/>
      <c r="P127" s="65" t="b">
        <f t="shared" si="3"/>
        <v>0</v>
      </c>
      <c r="Q127" s="65" t="e">
        <f ca="1">MATCH("*",OFFSET(P$4,Q126,0):P$144,0)+Q126</f>
        <v>#N/A</v>
      </c>
      <c r="R127" s="65" t="e">
        <f ca="1" t="shared" si="2"/>
        <v>#N/A</v>
      </c>
    </row>
    <row r="128" spans="11:18" ht="12.75">
      <c r="K128" s="138"/>
      <c r="L128" s="138"/>
      <c r="M128" s="26"/>
      <c r="N128" s="57"/>
      <c r="P128" s="65" t="b">
        <f t="shared" si="3"/>
        <v>0</v>
      </c>
      <c r="Q128" s="65" t="e">
        <f ca="1">MATCH("*",OFFSET(P$4,Q127,0):P$144,0)+Q127</f>
        <v>#N/A</v>
      </c>
      <c r="R128" s="65" t="e">
        <f ca="1" t="shared" si="2"/>
        <v>#N/A</v>
      </c>
    </row>
    <row r="129" spans="11:18" ht="12.75">
      <c r="K129" s="138"/>
      <c r="L129" s="138"/>
      <c r="M129" s="26"/>
      <c r="N129" s="57"/>
      <c r="P129" s="65" t="b">
        <f t="shared" si="3"/>
        <v>0</v>
      </c>
      <c r="Q129" s="65" t="e">
        <f ca="1">MATCH("*",OFFSET(P$4,Q128,0):P$144,0)+Q128</f>
        <v>#N/A</v>
      </c>
      <c r="R129" s="65" t="e">
        <f ca="1" t="shared" si="2"/>
        <v>#N/A</v>
      </c>
    </row>
    <row r="130" spans="11:18" ht="12.75">
      <c r="K130" s="138"/>
      <c r="L130" s="138"/>
      <c r="M130" s="26"/>
      <c r="N130" s="57"/>
      <c r="P130" s="65" t="b">
        <f t="shared" si="3"/>
        <v>0</v>
      </c>
      <c r="Q130" s="65" t="e">
        <f ca="1">MATCH("*",OFFSET(P$4,Q129,0):P$144,0)+Q129</f>
        <v>#N/A</v>
      </c>
      <c r="R130" s="65" t="e">
        <f ca="1" t="shared" si="2"/>
        <v>#N/A</v>
      </c>
    </row>
    <row r="131" spans="11:18" ht="12.75">
      <c r="K131" s="138"/>
      <c r="L131" s="138"/>
      <c r="M131" s="26"/>
      <c r="N131" s="57"/>
      <c r="P131" s="65" t="b">
        <f t="shared" si="3"/>
        <v>0</v>
      </c>
      <c r="Q131" s="65" t="e">
        <f ca="1">MATCH("*",OFFSET(P$4,Q130,0):P$144,0)+Q130</f>
        <v>#N/A</v>
      </c>
      <c r="R131" s="65" t="e">
        <f ca="1" t="shared" si="2"/>
        <v>#N/A</v>
      </c>
    </row>
    <row r="132" spans="11:18" ht="12.75">
      <c r="K132" s="138"/>
      <c r="L132" s="138"/>
      <c r="M132" s="26"/>
      <c r="N132" s="57"/>
      <c r="P132" s="65" t="b">
        <f t="shared" si="3"/>
        <v>0</v>
      </c>
      <c r="Q132" s="65" t="e">
        <f ca="1">MATCH("*",OFFSET(P$4,Q131,0):P$144,0)+Q131</f>
        <v>#N/A</v>
      </c>
      <c r="R132" s="65" t="e">
        <f ca="1" t="shared" si="2"/>
        <v>#N/A</v>
      </c>
    </row>
    <row r="133" spans="11:18" ht="12.75">
      <c r="K133" s="138"/>
      <c r="L133" s="138"/>
      <c r="M133" s="26"/>
      <c r="N133" s="57"/>
      <c r="P133" s="65" t="b">
        <f t="shared" si="3"/>
        <v>0</v>
      </c>
      <c r="Q133" s="65" t="e">
        <f ca="1">MATCH("*",OFFSET(P$4,Q132,0):P$144,0)+Q132</f>
        <v>#N/A</v>
      </c>
      <c r="R133" s="65" t="e">
        <f aca="true" ca="1" t="shared" si="4" ref="R133:R144">IF(Q133&lt;142,OFFSET(P$3,Q133,0),"")</f>
        <v>#N/A</v>
      </c>
    </row>
    <row r="134" spans="11:18" ht="12.75">
      <c r="K134" s="138"/>
      <c r="L134" s="138"/>
      <c r="M134" s="26"/>
      <c r="N134" s="57"/>
      <c r="P134" s="65" t="b">
        <f t="shared" si="3"/>
        <v>0</v>
      </c>
      <c r="Q134" s="65" t="e">
        <f ca="1">MATCH("*",OFFSET(P$4,Q133,0):P$144,0)+Q133</f>
        <v>#N/A</v>
      </c>
      <c r="R134" s="65" t="e">
        <f ca="1" t="shared" si="4"/>
        <v>#N/A</v>
      </c>
    </row>
    <row r="135" spans="11:18" ht="12.75">
      <c r="K135" s="138"/>
      <c r="L135" s="138"/>
      <c r="M135" s="26"/>
      <c r="N135" s="57"/>
      <c r="P135" s="65" t="b">
        <f t="shared" si="3"/>
        <v>0</v>
      </c>
      <c r="Q135" s="65" t="e">
        <f ca="1">MATCH("*",OFFSET(P$4,Q134,0):P$144,0)+Q134</f>
        <v>#N/A</v>
      </c>
      <c r="R135" s="65" t="e">
        <f ca="1" t="shared" si="4"/>
        <v>#N/A</v>
      </c>
    </row>
    <row r="136" spans="11:18" ht="12.75">
      <c r="K136" s="138"/>
      <c r="L136" s="138"/>
      <c r="M136" s="26"/>
      <c r="N136" s="57"/>
      <c r="P136" s="65" t="b">
        <f aca="true" t="shared" si="5" ref="P136:P144">IF(N136&gt;0,K136&amp;IF(N136&gt;1," ("&amp;N136&amp;")",""))</f>
        <v>0</v>
      </c>
      <c r="Q136" s="65" t="e">
        <f ca="1">MATCH("*",OFFSET(P$4,Q135,0):P$144,0)+Q135</f>
        <v>#N/A</v>
      </c>
      <c r="R136" s="65" t="e">
        <f ca="1" t="shared" si="4"/>
        <v>#N/A</v>
      </c>
    </row>
    <row r="137" spans="11:18" ht="12.75">
      <c r="K137" s="138"/>
      <c r="L137" s="138"/>
      <c r="M137" s="26"/>
      <c r="N137" s="57"/>
      <c r="P137" s="65" t="b">
        <f t="shared" si="5"/>
        <v>0</v>
      </c>
      <c r="Q137" s="65" t="e">
        <f ca="1">MATCH("*",OFFSET(P$4,Q136,0):P$144,0)+Q136</f>
        <v>#N/A</v>
      </c>
      <c r="R137" s="65" t="e">
        <f ca="1" t="shared" si="4"/>
        <v>#N/A</v>
      </c>
    </row>
    <row r="138" spans="11:18" ht="12.75">
      <c r="K138" s="138"/>
      <c r="L138" s="138"/>
      <c r="M138" s="26"/>
      <c r="N138" s="57"/>
      <c r="P138" s="65" t="b">
        <f t="shared" si="5"/>
        <v>0</v>
      </c>
      <c r="Q138" s="65" t="e">
        <f ca="1">MATCH("*",OFFSET(P$4,Q137,0):P$144,0)+Q137</f>
        <v>#N/A</v>
      </c>
      <c r="R138" s="65" t="e">
        <f ca="1" t="shared" si="4"/>
        <v>#N/A</v>
      </c>
    </row>
    <row r="139" spans="11:18" ht="12.75">
      <c r="K139" s="138"/>
      <c r="L139" s="138"/>
      <c r="M139" s="26"/>
      <c r="N139" s="57"/>
      <c r="P139" s="65" t="b">
        <f t="shared" si="5"/>
        <v>0</v>
      </c>
      <c r="Q139" s="65" t="e">
        <f ca="1">MATCH("*",OFFSET(P$4,Q138,0):P$144,0)+Q138</f>
        <v>#N/A</v>
      </c>
      <c r="R139" s="65" t="e">
        <f ca="1" t="shared" si="4"/>
        <v>#N/A</v>
      </c>
    </row>
    <row r="140" spans="11:18" ht="12.75">
      <c r="K140" s="138"/>
      <c r="L140" s="138"/>
      <c r="M140" s="26"/>
      <c r="N140" s="57"/>
      <c r="P140" s="65" t="b">
        <f t="shared" si="5"/>
        <v>0</v>
      </c>
      <c r="Q140" s="65" t="e">
        <f ca="1">MATCH("*",OFFSET(P$4,Q139,0):P$144,0)+Q139</f>
        <v>#N/A</v>
      </c>
      <c r="R140" s="65" t="e">
        <f ca="1" t="shared" si="4"/>
        <v>#N/A</v>
      </c>
    </row>
    <row r="141" spans="11:18" ht="12.75">
      <c r="K141" s="138"/>
      <c r="L141" s="138"/>
      <c r="M141" s="26"/>
      <c r="N141" s="57"/>
      <c r="P141" s="65" t="b">
        <f t="shared" si="5"/>
        <v>0</v>
      </c>
      <c r="Q141" s="65" t="e">
        <f ca="1">MATCH("*",OFFSET(P$4,Q140,0):P$144,0)+Q140</f>
        <v>#N/A</v>
      </c>
      <c r="R141" s="65" t="e">
        <f ca="1" t="shared" si="4"/>
        <v>#N/A</v>
      </c>
    </row>
    <row r="142" spans="11:18" ht="12.75">
      <c r="K142" s="138"/>
      <c r="L142" s="138"/>
      <c r="M142" s="26"/>
      <c r="N142" s="57"/>
      <c r="P142" s="65" t="b">
        <f t="shared" si="5"/>
        <v>0</v>
      </c>
      <c r="Q142" s="65" t="e">
        <f ca="1">MATCH("*",OFFSET(P$4,Q141,0):P$144,0)+Q141</f>
        <v>#N/A</v>
      </c>
      <c r="R142" s="65" t="e">
        <f ca="1" t="shared" si="4"/>
        <v>#N/A</v>
      </c>
    </row>
    <row r="143" spans="11:18" ht="12.75">
      <c r="K143" s="138"/>
      <c r="L143" s="138"/>
      <c r="M143" s="26"/>
      <c r="N143" s="57"/>
      <c r="P143" s="65" t="b">
        <f t="shared" si="5"/>
        <v>0</v>
      </c>
      <c r="Q143" s="65" t="e">
        <f ca="1">MATCH("*",OFFSET(P$4,Q142,0):P$144,0)+Q142</f>
        <v>#N/A</v>
      </c>
      <c r="R143" s="65" t="e">
        <f ca="1" t="shared" si="4"/>
        <v>#N/A</v>
      </c>
    </row>
    <row r="144" spans="11:18" ht="12.75">
      <c r="K144" s="138"/>
      <c r="L144" s="138"/>
      <c r="M144" s="26"/>
      <c r="N144" s="57"/>
      <c r="P144" s="65" t="b">
        <f t="shared" si="5"/>
        <v>0</v>
      </c>
      <c r="Q144" s="65" t="e">
        <f ca="1">MATCH("*",OFFSET(P$4,Q143,0):P$144,0)+Q143</f>
        <v>#N/A</v>
      </c>
      <c r="R144" s="65" t="e">
        <f ca="1" t="shared" si="4"/>
        <v>#N/A</v>
      </c>
    </row>
    <row r="145" spans="11:18" ht="12.75">
      <c r="K145" s="1" t="s">
        <v>104</v>
      </c>
      <c r="R145" s="65"/>
    </row>
  </sheetData>
  <sheetProtection sheet="1" objects="1" scenarios="1"/>
  <mergeCells count="174">
    <mergeCell ref="H8:I8"/>
    <mergeCell ref="H120:J120"/>
    <mergeCell ref="G12:H12"/>
    <mergeCell ref="H16:I16"/>
    <mergeCell ref="H18:I18"/>
    <mergeCell ref="G25:I25"/>
    <mergeCell ref="H26:I26"/>
    <mergeCell ref="H30:I30"/>
    <mergeCell ref="G22:H22"/>
    <mergeCell ref="B42:C42"/>
    <mergeCell ref="B44:E44"/>
    <mergeCell ref="H6:I6"/>
    <mergeCell ref="G5:I5"/>
    <mergeCell ref="G9:H9"/>
    <mergeCell ref="G10:H10"/>
    <mergeCell ref="G11:H11"/>
    <mergeCell ref="B22:E22"/>
    <mergeCell ref="G21:H21"/>
    <mergeCell ref="B13:C13"/>
    <mergeCell ref="K129:L129"/>
    <mergeCell ref="K130:L130"/>
    <mergeCell ref="K143:L143"/>
    <mergeCell ref="K144:L144"/>
    <mergeCell ref="K139:L139"/>
    <mergeCell ref="K140:L140"/>
    <mergeCell ref="K141:L141"/>
    <mergeCell ref="K135:L135"/>
    <mergeCell ref="K142:L142"/>
    <mergeCell ref="K136:L136"/>
    <mergeCell ref="K137:L137"/>
    <mergeCell ref="K138:L138"/>
    <mergeCell ref="K134:L134"/>
    <mergeCell ref="K123:L123"/>
    <mergeCell ref="K124:L124"/>
    <mergeCell ref="K125:L125"/>
    <mergeCell ref="K126:L126"/>
    <mergeCell ref="K131:L131"/>
    <mergeCell ref="K132:L132"/>
    <mergeCell ref="K133:L133"/>
    <mergeCell ref="K127:L127"/>
    <mergeCell ref="K128:L128"/>
    <mergeCell ref="K119:L119"/>
    <mergeCell ref="K120:L120"/>
    <mergeCell ref="K121:L121"/>
    <mergeCell ref="K122:L122"/>
    <mergeCell ref="K115:L115"/>
    <mergeCell ref="K116:L116"/>
    <mergeCell ref="K117:L117"/>
    <mergeCell ref="K118:L118"/>
    <mergeCell ref="K111:L111"/>
    <mergeCell ref="K112:L112"/>
    <mergeCell ref="K113:L113"/>
    <mergeCell ref="K114:L114"/>
    <mergeCell ref="K107:L107"/>
    <mergeCell ref="K108:L108"/>
    <mergeCell ref="K109:L109"/>
    <mergeCell ref="K110:L110"/>
    <mergeCell ref="K103:L103"/>
    <mergeCell ref="K104:L104"/>
    <mergeCell ref="K105:L105"/>
    <mergeCell ref="K106:L106"/>
    <mergeCell ref="K99:L99"/>
    <mergeCell ref="K100:L100"/>
    <mergeCell ref="K101:L101"/>
    <mergeCell ref="K102:L102"/>
    <mergeCell ref="K95:L95"/>
    <mergeCell ref="K96:L96"/>
    <mergeCell ref="K97:L97"/>
    <mergeCell ref="K98:L98"/>
    <mergeCell ref="K91:L91"/>
    <mergeCell ref="K92:L92"/>
    <mergeCell ref="K93:L93"/>
    <mergeCell ref="K94:L94"/>
    <mergeCell ref="K87:L87"/>
    <mergeCell ref="K88:L88"/>
    <mergeCell ref="K89:L89"/>
    <mergeCell ref="K90:L90"/>
    <mergeCell ref="K83:L83"/>
    <mergeCell ref="K84:L84"/>
    <mergeCell ref="K85:L85"/>
    <mergeCell ref="K86:L86"/>
    <mergeCell ref="K79:L79"/>
    <mergeCell ref="K80:L80"/>
    <mergeCell ref="K81:L81"/>
    <mergeCell ref="K82:L82"/>
    <mergeCell ref="K75:L75"/>
    <mergeCell ref="K76:L76"/>
    <mergeCell ref="K77:L77"/>
    <mergeCell ref="K78:L78"/>
    <mergeCell ref="K71:L71"/>
    <mergeCell ref="K72:L72"/>
    <mergeCell ref="K73:L73"/>
    <mergeCell ref="K74:L74"/>
    <mergeCell ref="K67:L67"/>
    <mergeCell ref="K68:L68"/>
    <mergeCell ref="K69:L69"/>
    <mergeCell ref="K70:L70"/>
    <mergeCell ref="K63:L63"/>
    <mergeCell ref="K64:L64"/>
    <mergeCell ref="K65:L65"/>
    <mergeCell ref="K66:L66"/>
    <mergeCell ref="K59:L59"/>
    <mergeCell ref="K60:L60"/>
    <mergeCell ref="K61:L61"/>
    <mergeCell ref="K62:L62"/>
    <mergeCell ref="K55:L55"/>
    <mergeCell ref="K56:L56"/>
    <mergeCell ref="K57:L57"/>
    <mergeCell ref="K58:L58"/>
    <mergeCell ref="K51:L51"/>
    <mergeCell ref="K52:L52"/>
    <mergeCell ref="K53:L53"/>
    <mergeCell ref="K54:L54"/>
    <mergeCell ref="K47:L47"/>
    <mergeCell ref="K48:L48"/>
    <mergeCell ref="K49:L49"/>
    <mergeCell ref="K50:L50"/>
    <mergeCell ref="K43:L43"/>
    <mergeCell ref="K44:L44"/>
    <mergeCell ref="K45:L45"/>
    <mergeCell ref="K46:L46"/>
    <mergeCell ref="K39:L39"/>
    <mergeCell ref="K40:L40"/>
    <mergeCell ref="K41:L41"/>
    <mergeCell ref="K42:L42"/>
    <mergeCell ref="K35:L35"/>
    <mergeCell ref="K36:L36"/>
    <mergeCell ref="K37:L37"/>
    <mergeCell ref="K38:L38"/>
    <mergeCell ref="K31:L31"/>
    <mergeCell ref="K32:L32"/>
    <mergeCell ref="K33:L33"/>
    <mergeCell ref="K34:L34"/>
    <mergeCell ref="K27:L27"/>
    <mergeCell ref="K28:L28"/>
    <mergeCell ref="K29:L29"/>
    <mergeCell ref="K30:L30"/>
    <mergeCell ref="K23:L23"/>
    <mergeCell ref="K24:L24"/>
    <mergeCell ref="K25:L25"/>
    <mergeCell ref="K26:L26"/>
    <mergeCell ref="K19:L19"/>
    <mergeCell ref="K20:L20"/>
    <mergeCell ref="K21:L21"/>
    <mergeCell ref="K22:L22"/>
    <mergeCell ref="K15:L15"/>
    <mergeCell ref="K16:L16"/>
    <mergeCell ref="K17:L17"/>
    <mergeCell ref="K18:L18"/>
    <mergeCell ref="K11:L11"/>
    <mergeCell ref="K12:L12"/>
    <mergeCell ref="K13:L13"/>
    <mergeCell ref="K14:L14"/>
    <mergeCell ref="K1:O1"/>
    <mergeCell ref="K4:L4"/>
    <mergeCell ref="K5:L5"/>
    <mergeCell ref="K6:L6"/>
    <mergeCell ref="K7:L7"/>
    <mergeCell ref="K8:L8"/>
    <mergeCell ref="K9:L9"/>
    <mergeCell ref="K10:L10"/>
    <mergeCell ref="A3:B3"/>
    <mergeCell ref="B6:C6"/>
    <mergeCell ref="A5:E5"/>
    <mergeCell ref="B8:E8"/>
    <mergeCell ref="B15:E15"/>
    <mergeCell ref="B20:C20"/>
    <mergeCell ref="G19:H19"/>
    <mergeCell ref="G20:H20"/>
    <mergeCell ref="A27:E27"/>
    <mergeCell ref="B35:C35"/>
    <mergeCell ref="B37:E37"/>
    <mergeCell ref="B28:C28"/>
    <mergeCell ref="B30:E30"/>
  </mergeCells>
  <conditionalFormatting sqref="E42 E28 E35">
    <cfRule type="expression" priority="1" dxfId="1" stopIfTrue="1">
      <formula>IF(D28="Strength rating:",TRUE,FALSE)</formula>
    </cfRule>
  </conditionalFormatting>
  <dataValidations count="13">
    <dataValidation type="list" allowBlank="1" showInputMessage="1" showErrorMessage="1" sqref="B6:C6 B13:C13 B20:C20">
      <formula1>MeleeWs</formula1>
    </dataValidation>
    <dataValidation type="list" allowBlank="1" showInputMessage="1" showErrorMessage="1" sqref="E20">
      <formula1>$F$20:$F$22</formula1>
    </dataValidation>
    <dataValidation type="list" allowBlank="1" showInputMessage="1" showErrorMessage="1" sqref="H6:I6">
      <formula1>Armors</formula1>
    </dataValidation>
    <dataValidation type="list" allowBlank="1" showInputMessage="1" showErrorMessage="1" sqref="B7 B43 B14 B21 B29 B36">
      <formula1>Sizes</formula1>
    </dataValidation>
    <dataValidation type="list" allowBlank="1" showInputMessage="1" showErrorMessage="1" sqref="B42:C42 B28:C28 B35:C35">
      <formula1>RangedWs</formula1>
    </dataValidation>
    <dataValidation type="list" allowBlank="1" showInputMessage="1" showErrorMessage="1" sqref="H16:I16">
      <formula1>Shields</formula1>
    </dataValidation>
    <dataValidation type="custom" allowBlank="1" showInputMessage="1" showErrorMessage="1" prompt="Enter the enhancement bonus, if any. For masterwork weapons, enter an &quot;m&quot;." sqref="E43 E14 E21 E29 E36 E7">
      <formula1>OR(ISNUMBER(E43),E43="m",E43="M")</formula1>
    </dataValidation>
    <dataValidation type="list" allowBlank="1" showInputMessage="1" showErrorMessage="1" sqref="E6">
      <formula1>$F$6:$F$8</formula1>
    </dataValidation>
    <dataValidation type="list" allowBlank="1" showInputMessage="1" showErrorMessage="1" sqref="E13">
      <formula1>$F$13:$F$15</formula1>
    </dataValidation>
    <dataValidation type="custom" allowBlank="1" showInputMessage="1" showErrorMessage="1" prompt="Enter the enhancement bonus, if any. For masterwork armor, enter an &quot;m&quot;." sqref="H7">
      <formula1>OR(ISNUMBER(H7),H7="m",H7="M")</formula1>
    </dataValidation>
    <dataValidation type="custom" allowBlank="1" showInputMessage="1" showErrorMessage="1" prompt="Enter the enhancement bonus, if any. For masterwork shields, enter an &quot;m&quot;." sqref="H17">
      <formula1>OR(ISNUMBER(H17),H17="m",H17="M")</formula1>
    </dataValidation>
    <dataValidation type="whole" operator="greaterThanOrEqual" allowBlank="1" showInputMessage="1" showErrorMessage="1" sqref="N4:N144">
      <formula1>0</formula1>
    </dataValidation>
    <dataValidation type="decimal" operator="greaterThanOrEqual" allowBlank="1" showInputMessage="1" showErrorMessage="1" sqref="M120:M144">
      <formula1>0</formula1>
    </dataValidation>
  </dataValidations>
  <hyperlinks>
    <hyperlink ref="B1" location="Skills!A1" display="Skills"/>
    <hyperlink ref="A2" location="Feats!A1" display="Feats"/>
    <hyperlink ref="A3:B3" location="Sheet!A1" display="View the Sheet"/>
    <hyperlink ref="A1" location="Begin!A1" display="Begin"/>
    <hyperlink ref="H1" location="Gear!A4" display="Hop to Top"/>
  </hyperlinks>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1:AK208"/>
  <sheetViews>
    <sheetView tabSelected="1" view="pageBreakPreview" zoomScaleSheetLayoutView="100" workbookViewId="0" topLeftCell="A16">
      <selection activeCell="S26" sqref="S26"/>
    </sheetView>
  </sheetViews>
  <sheetFormatPr defaultColWidth="9.140625" defaultRowHeight="12.75"/>
  <cols>
    <col min="1" max="16384" width="3.57421875" style="3" customWidth="1"/>
  </cols>
  <sheetData>
    <row r="1" spans="1:29" ht="12.75">
      <c r="A1" s="223" t="s">
        <v>123</v>
      </c>
      <c r="B1" s="223"/>
      <c r="C1" s="223"/>
      <c r="D1" s="223"/>
      <c r="E1" s="141">
        <f>IF(ISBLANK(Begin!C8),"",Begin!C8)</f>
      </c>
      <c r="F1" s="141"/>
      <c r="G1" s="141"/>
      <c r="H1" s="141"/>
      <c r="I1" s="141"/>
      <c r="J1" s="141"/>
      <c r="K1" s="204" t="s">
        <v>319</v>
      </c>
      <c r="L1" s="204"/>
      <c r="M1" s="204"/>
      <c r="Z1" s="209" t="s">
        <v>0</v>
      </c>
      <c r="AA1" s="210"/>
      <c r="AB1" s="210" t="s">
        <v>1</v>
      </c>
      <c r="AC1" s="213"/>
    </row>
    <row r="2" spans="1:29" ht="12.75">
      <c r="A2" s="223" t="s">
        <v>124</v>
      </c>
      <c r="B2" s="223"/>
      <c r="C2" s="223"/>
      <c r="D2" s="223"/>
      <c r="E2" s="141">
        <f>IF(ISBLANK(Begin!C9),"",Begin!C9)</f>
      </c>
      <c r="F2" s="141"/>
      <c r="G2" s="141"/>
      <c r="H2" s="141"/>
      <c r="I2" s="141"/>
      <c r="J2" s="141"/>
      <c r="K2" s="221"/>
      <c r="L2" s="221"/>
      <c r="M2" s="221"/>
      <c r="Z2" s="211"/>
      <c r="AA2" s="212"/>
      <c r="AB2" s="212"/>
      <c r="AC2" s="214"/>
    </row>
    <row r="3" spans="1:29" ht="12.75">
      <c r="A3" s="223" t="s">
        <v>320</v>
      </c>
      <c r="B3" s="223"/>
      <c r="C3" s="141">
        <f>Begin!K12&amp;Begin!K13&amp;Begin!K14&amp;Begin!K15&amp;Begin!K16&amp;Begin!K17&amp;Begin!K18&amp;Begin!K19&amp;Begin!K20&amp;Begin!K21&amp;Begin!K22&amp;Begin!K23&amp;Begin!K24&amp;Begin!K25&amp;Begin!K26&amp;Begin!K27&amp;Begin!K28&amp;Begin!K29&amp;Begin!K30&amp;Begin!K31</f>
      </c>
      <c r="D3" s="141"/>
      <c r="E3" s="141"/>
      <c r="F3" s="141"/>
      <c r="G3" s="141"/>
      <c r="H3" s="141"/>
      <c r="I3" s="141"/>
      <c r="J3" s="223" t="s">
        <v>321</v>
      </c>
      <c r="K3" s="223"/>
      <c r="L3" s="42">
        <f>ChrLevel</f>
        <v>0</v>
      </c>
      <c r="Z3" s="211" t="s">
        <v>2</v>
      </c>
      <c r="AA3" s="212"/>
      <c r="AB3" s="212" t="s">
        <v>3</v>
      </c>
      <c r="AC3" s="214"/>
    </row>
    <row r="4" spans="1:29" ht="12.75">
      <c r="A4" s="223" t="s">
        <v>322</v>
      </c>
      <c r="B4" s="223"/>
      <c r="C4" s="141">
        <f>IF(ISBLANK(Race),"",Race)</f>
      </c>
      <c r="D4" s="141"/>
      <c r="E4" s="141"/>
      <c r="F4" s="204" t="s">
        <v>323</v>
      </c>
      <c r="G4" s="204"/>
      <c r="H4" s="204"/>
      <c r="I4" s="141">
        <f>IF(ISBLANK(Alignment),"",Alignment)</f>
      </c>
      <c r="J4" s="141"/>
      <c r="K4" s="141"/>
      <c r="L4" s="141"/>
      <c r="M4" s="141"/>
      <c r="Z4" s="215"/>
      <c r="AA4" s="216"/>
      <c r="AB4" s="216"/>
      <c r="AC4" s="217"/>
    </row>
    <row r="5" spans="1:29" ht="12.75">
      <c r="A5" s="227" t="s">
        <v>325</v>
      </c>
      <c r="B5" s="227"/>
      <c r="C5" s="141" t="str">
        <f>Size</f>
        <v>Medium</v>
      </c>
      <c r="D5" s="141"/>
      <c r="E5" s="141"/>
      <c r="F5" s="204" t="s">
        <v>324</v>
      </c>
      <c r="G5" s="204"/>
      <c r="H5" s="140">
        <f>IF(ISBLANK(Begin!C12),"",Begin!C12)</f>
      </c>
      <c r="I5" s="140"/>
      <c r="J5" s="140"/>
      <c r="K5" s="140"/>
      <c r="L5" s="140"/>
      <c r="P5" s="140" t="s">
        <v>895</v>
      </c>
      <c r="Q5" s="140"/>
      <c r="R5" s="140"/>
      <c r="S5" s="140"/>
      <c r="T5" s="140"/>
      <c r="U5" s="140"/>
      <c r="V5" s="140"/>
      <c r="W5" s="22"/>
      <c r="X5" s="22"/>
      <c r="Z5" s="218" t="s">
        <v>792</v>
      </c>
      <c r="AA5" s="219"/>
      <c r="AB5" s="219"/>
      <c r="AC5" s="220"/>
    </row>
    <row r="6" spans="1:29" ht="12.75">
      <c r="A6" s="223" t="s">
        <v>327</v>
      </c>
      <c r="B6" s="223"/>
      <c r="C6" s="141">
        <f>IF(ISBLANK(Begin!E17),"",Begin!E17)</f>
      </c>
      <c r="D6" s="141"/>
      <c r="E6" s="223" t="s">
        <v>328</v>
      </c>
      <c r="F6" s="223"/>
      <c r="G6" s="141">
        <f>IF(ISBLANK(Begin!E18),"",Begin!E18)</f>
      </c>
      <c r="H6" s="141"/>
      <c r="I6" s="223" t="s">
        <v>329</v>
      </c>
      <c r="J6" s="223"/>
      <c r="K6" s="141">
        <f>IF(ISBLANK(Begin!E19),"",Begin!E19)</f>
      </c>
      <c r="L6" s="141"/>
      <c r="M6" s="223" t="s">
        <v>326</v>
      </c>
      <c r="N6" s="223"/>
      <c r="O6" s="22">
        <f>IF(ISBLANK(Begin!E16),"",Begin!E16)</f>
      </c>
      <c r="Q6" s="140" t="s">
        <v>304</v>
      </c>
      <c r="R6" s="140"/>
      <c r="S6" s="140"/>
      <c r="T6" s="140"/>
      <c r="U6" s="140"/>
      <c r="V6" s="22"/>
      <c r="W6" s="22"/>
      <c r="X6" s="22"/>
      <c r="Z6" s="192" t="s">
        <v>793</v>
      </c>
      <c r="AA6" s="193"/>
      <c r="AB6" s="193"/>
      <c r="AC6" s="194"/>
    </row>
    <row r="7" spans="1:29" ht="12.75">
      <c r="A7" s="223" t="s">
        <v>330</v>
      </c>
      <c r="B7" s="223"/>
      <c r="C7" s="141">
        <f>IF(ISBLANK(Begin!E20),"",Begin!E20)</f>
      </c>
      <c r="D7" s="141"/>
      <c r="E7" s="223" t="s">
        <v>331</v>
      </c>
      <c r="F7" s="223"/>
      <c r="G7" s="141">
        <f>IF(ISBLANK(Begin!E21),"",Begin!E21)</f>
      </c>
      <c r="H7" s="141"/>
      <c r="I7" s="223" t="s">
        <v>332</v>
      </c>
      <c r="J7" s="223"/>
      <c r="K7" s="141">
        <f>IF(ISBLANK(Begin!E22),"",Begin!E22)</f>
      </c>
      <c r="L7" s="141"/>
      <c r="O7" s="36"/>
      <c r="P7" s="222" t="s">
        <v>305</v>
      </c>
      <c r="Q7" s="140"/>
      <c r="R7" s="140"/>
      <c r="S7" s="140"/>
      <c r="T7" s="140"/>
      <c r="U7" s="140"/>
      <c r="V7" s="140"/>
      <c r="Z7" s="192" t="s">
        <v>794</v>
      </c>
      <c r="AA7" s="193"/>
      <c r="AB7" s="193"/>
      <c r="AC7" s="194"/>
    </row>
    <row r="8" spans="1:29" ht="12.75">
      <c r="A8" s="157" t="s">
        <v>306</v>
      </c>
      <c r="B8" s="158"/>
      <c r="C8" s="158"/>
      <c r="D8" s="158"/>
      <c r="E8" s="158"/>
      <c r="F8" s="158"/>
      <c r="G8" s="159"/>
      <c r="H8" s="229" t="s">
        <v>334</v>
      </c>
      <c r="I8" s="223"/>
      <c r="J8" s="223"/>
      <c r="K8" s="141" t="str">
        <f>Begin!L12&amp;Begin!L13&amp;Begin!L14&amp;Begin!L15&amp;Begin!L16&amp;Begin!L17&amp;Begin!L18&amp;Begin!L19&amp;Begin!L20&amp;Begin!L21&amp;Begin!L22&amp;Begin!L23&amp;Begin!L24&amp;Begin!L25&amp;Begin!L26&amp;Begin!L27&amp;Begin!L28&amp;Begin!L29&amp;Begin!L30&amp;Begin!L31&amp;IF(ConMod&gt;0,"+","")&amp;IF(ConMod&lt;&gt;0,ConMod*ChrLevel,"")&amp;IF(Feats!H149&gt;0,"+"&amp;3*Feats!H149,"")</f>
        <v>0</v>
      </c>
      <c r="L8" s="141"/>
      <c r="M8" s="141"/>
      <c r="N8" s="141"/>
      <c r="O8" s="141"/>
      <c r="P8" s="223" t="s">
        <v>335</v>
      </c>
      <c r="Q8" s="223"/>
      <c r="R8" s="223"/>
      <c r="S8" s="237"/>
      <c r="T8" s="238"/>
      <c r="U8" s="239"/>
      <c r="W8" s="63"/>
      <c r="X8" s="63"/>
      <c r="Z8" s="195" t="s">
        <v>795</v>
      </c>
      <c r="AA8" s="196"/>
      <c r="AB8" s="196"/>
      <c r="AC8" s="197"/>
    </row>
    <row r="9" spans="1:24" ht="12.75">
      <c r="A9" s="37"/>
      <c r="B9" s="38"/>
      <c r="C9" s="38"/>
      <c r="D9" s="191" t="s">
        <v>125</v>
      </c>
      <c r="E9" s="191"/>
      <c r="F9" s="191" t="s">
        <v>126</v>
      </c>
      <c r="G9" s="228"/>
      <c r="H9" s="229" t="s">
        <v>336</v>
      </c>
      <c r="I9" s="230"/>
      <c r="J9" s="230"/>
      <c r="K9" s="230"/>
      <c r="L9" s="231"/>
      <c r="M9" s="237"/>
      <c r="N9" s="238"/>
      <c r="O9" s="239"/>
      <c r="P9" s="223" t="s">
        <v>337</v>
      </c>
      <c r="Q9" s="223"/>
      <c r="R9" s="223"/>
      <c r="S9" s="237"/>
      <c r="T9" s="238"/>
      <c r="U9" s="239"/>
      <c r="W9" s="22"/>
      <c r="X9" s="22"/>
    </row>
    <row r="10" spans="1:7" ht="12.75">
      <c r="A10" s="205" t="s">
        <v>8</v>
      </c>
      <c r="B10" s="206"/>
      <c r="C10" s="206"/>
      <c r="D10" s="152">
        <f>Begin!B15+IF(AND(Classes!C5&gt;0,Status="raging"),Begin!C37,0)+IF(Status="exhausted",-6,0)+IF(Status="fatigued",-2,0)</f>
        <v>0</v>
      </c>
      <c r="E10" s="152"/>
      <c r="F10" s="152">
        <f aca="true" t="shared" si="0" ref="F10:F15">ROUND((D10-10.5)/2,0)</f>
        <v>-5</v>
      </c>
      <c r="G10" s="152"/>
    </row>
    <row r="11" spans="1:22" ht="12.75">
      <c r="A11" s="205" t="s">
        <v>9</v>
      </c>
      <c r="B11" s="206"/>
      <c r="C11" s="206"/>
      <c r="D11" s="152">
        <f>IF(Status="helpless",0,Begin!B16+IF(Status="entangled",-4,0)+IF(Status="exhausted",-6,0)+IF(Status="fatigued",-2,0))</f>
        <v>0</v>
      </c>
      <c r="E11" s="152"/>
      <c r="F11" s="152">
        <f t="shared" si="0"/>
        <v>-5</v>
      </c>
      <c r="G11" s="152"/>
      <c r="I11" s="170" t="s">
        <v>387</v>
      </c>
      <c r="J11" s="170"/>
      <c r="K11" s="170"/>
      <c r="L11" s="140" t="s">
        <v>119</v>
      </c>
      <c r="M11" s="140"/>
      <c r="O11" s="3" t="s">
        <v>389</v>
      </c>
      <c r="P11" s="3" t="s">
        <v>390</v>
      </c>
      <c r="Q11" s="3" t="s">
        <v>391</v>
      </c>
      <c r="R11" s="3" t="s">
        <v>15</v>
      </c>
      <c r="S11" s="3" t="s">
        <v>392</v>
      </c>
      <c r="T11" s="3" t="s">
        <v>393</v>
      </c>
      <c r="U11" s="3" t="s">
        <v>382</v>
      </c>
      <c r="V11" s="3" t="s">
        <v>386</v>
      </c>
    </row>
    <row r="12" spans="1:22" ht="12.75">
      <c r="A12" s="205" t="s">
        <v>10</v>
      </c>
      <c r="B12" s="206"/>
      <c r="C12" s="206"/>
      <c r="D12" s="152">
        <f>Begin!B17+IF(AND(Classes!C5&gt;0,Status="raging"),Begin!C37,0)</f>
        <v>0</v>
      </c>
      <c r="E12" s="152"/>
      <c r="F12" s="152">
        <f t="shared" si="0"/>
        <v>-5</v>
      </c>
      <c r="G12" s="152"/>
      <c r="I12" s="170" t="s">
        <v>388</v>
      </c>
      <c r="J12" s="170"/>
      <c r="K12" s="170"/>
      <c r="L12" s="146">
        <f>SUM(N12:V12)</f>
        <v>5</v>
      </c>
      <c r="M12" s="146"/>
      <c r="N12" s="47">
        <v>10</v>
      </c>
      <c r="O12" s="47">
        <f>Gear!I9</f>
        <v>0</v>
      </c>
      <c r="P12" s="47">
        <f>IF(Gear!H34,Gear!I19,0)+IF(AND(Gear!A50,Feats!H153&gt;0),1,0)</f>
        <v>0</v>
      </c>
      <c r="Q12" s="47">
        <f>IF(OR(Status="blinded",Status="cowering",Status="stunned"),MIN(0,V16),V16)</f>
        <v>-5</v>
      </c>
      <c r="R12" s="47">
        <f>LOOKUP(Size,Sizes,Races!O3:O11)</f>
        <v>0</v>
      </c>
      <c r="S12" s="47">
        <f>IF(ISBLANK(Race),"",LOOKUP(Race,Races,Races!B4:L4))</f>
      </c>
      <c r="T12" s="47">
        <f>IF(Classes!C12&gt;0,WisMod+TRUNC(Classes!C12/5),0)</f>
        <v>0</v>
      </c>
      <c r="U12" s="47">
        <f>IF(OR(AND(Classes!C5&gt;0,Status="raging"),Status="blinded",Status="cowering",Status="stunned"),-2,0)+SUM(Gear!H27,Gear!H31)</f>
        <v>0</v>
      </c>
      <c r="V12" s="48"/>
    </row>
    <row r="13" spans="1:13" ht="12.75">
      <c r="A13" s="205" t="s">
        <v>11</v>
      </c>
      <c r="B13" s="206"/>
      <c r="C13" s="206"/>
      <c r="D13" s="152">
        <f>Begin!B18</f>
        <v>0</v>
      </c>
      <c r="E13" s="152"/>
      <c r="F13" s="152">
        <f t="shared" si="0"/>
        <v>-5</v>
      </c>
      <c r="G13" s="152"/>
      <c r="I13" s="204" t="s">
        <v>406</v>
      </c>
      <c r="J13" s="204"/>
      <c r="K13" s="204"/>
      <c r="L13" s="146">
        <f>L12-IF(DexMod&gt;0,DexMod,0)+IF(Begin!J34="Uncanny Dodge",DexMod,0)</f>
        <v>5</v>
      </c>
      <c r="M13" s="146"/>
    </row>
    <row r="14" spans="1:22" ht="12.75">
      <c r="A14" s="205" t="s">
        <v>12</v>
      </c>
      <c r="B14" s="206"/>
      <c r="C14" s="206"/>
      <c r="D14" s="152">
        <f>Begin!B19</f>
        <v>0</v>
      </c>
      <c r="E14" s="152"/>
      <c r="F14" s="152">
        <f t="shared" si="0"/>
        <v>-5</v>
      </c>
      <c r="G14" s="152"/>
      <c r="I14" s="204" t="s">
        <v>407</v>
      </c>
      <c r="J14" s="204"/>
      <c r="K14" s="204"/>
      <c r="L14" s="146">
        <f>SUM(N12,Q12,R12,T12,U12,V12)</f>
        <v>5</v>
      </c>
      <c r="M14" s="146"/>
      <c r="R14" s="147" t="s">
        <v>452</v>
      </c>
      <c r="S14" s="147"/>
      <c r="T14" s="147"/>
      <c r="U14" s="147"/>
      <c r="V14" s="3">
        <f>IF(Classes!C12&gt;12,Classes!C12+10,"")</f>
      </c>
    </row>
    <row r="15" spans="1:23" ht="12.75">
      <c r="A15" s="207" t="s">
        <v>13</v>
      </c>
      <c r="B15" s="208"/>
      <c r="C15" s="208"/>
      <c r="D15" s="152">
        <f>Begin!B20</f>
        <v>0</v>
      </c>
      <c r="E15" s="152"/>
      <c r="F15" s="152">
        <f t="shared" si="0"/>
        <v>-5</v>
      </c>
      <c r="G15" s="152"/>
      <c r="L15" s="140" t="s">
        <v>119</v>
      </c>
      <c r="M15" s="140"/>
      <c r="N15" s="3" t="s">
        <v>391</v>
      </c>
      <c r="O15" s="3" t="s">
        <v>382</v>
      </c>
      <c r="Q15" s="147" t="s">
        <v>849</v>
      </c>
      <c r="R15" s="147"/>
      <c r="S15" s="147"/>
      <c r="T15" s="147"/>
      <c r="U15" s="147"/>
      <c r="V15" s="3">
        <f>MIN(SUM(Gear!I11,Gear!I21),Sheet!U208)</f>
        <v>0</v>
      </c>
      <c r="W15" s="3">
        <f>IF(ISBLANK(Gear!H6),0,IF(LOOKUP(Gear!H6,Armors,Combat!C3:C14),0,Gear!I11))+IF(ISBLANK(Gear!H16),0,IF(LOOKUP(Gear!H16,Shields,Combat!B18:B23),0,Gear!I21))</f>
        <v>0</v>
      </c>
    </row>
    <row r="16" spans="9:22" ht="12.75">
      <c r="I16" s="170" t="s">
        <v>453</v>
      </c>
      <c r="J16" s="170"/>
      <c r="K16" s="170"/>
      <c r="L16" s="152">
        <f>SUM(N16:O16)</f>
        <v>-5</v>
      </c>
      <c r="M16" s="152"/>
      <c r="N16" s="47">
        <f>DexMod</f>
        <v>-5</v>
      </c>
      <c r="O16" s="47">
        <f>IF(Feats!H99&gt;0,4,0)+IF(Status="deafened",-4,0)</f>
        <v>0</v>
      </c>
      <c r="T16" s="147" t="s">
        <v>869</v>
      </c>
      <c r="U16" s="147"/>
      <c r="V16" s="3">
        <f>MIN(Gear!I10,Gear!I20,Sheet!S208,DexMod)</f>
        <v>-5</v>
      </c>
    </row>
    <row r="17" spans="1:24" ht="12.75">
      <c r="A17" s="170" t="s">
        <v>377</v>
      </c>
      <c r="B17" s="170"/>
      <c r="C17" s="170"/>
      <c r="D17" s="170"/>
      <c r="E17" s="170"/>
      <c r="F17" s="3" t="s">
        <v>381</v>
      </c>
      <c r="G17" s="3" t="s">
        <v>315</v>
      </c>
      <c r="H17" s="3" t="s">
        <v>369</v>
      </c>
      <c r="I17" s="3" t="s">
        <v>382</v>
      </c>
      <c r="J17" s="3" t="s">
        <v>386</v>
      </c>
      <c r="Q17" s="143" t="s">
        <v>451</v>
      </c>
      <c r="R17" s="143"/>
      <c r="S17" s="143"/>
      <c r="T17" s="143"/>
      <c r="U17" s="143"/>
      <c r="V17" s="140">
        <f>IF(Classes!C5&gt;6,TRUNC((Classes!C5-4)/3)&amp;"/-","")&amp;IF(Classes!C12=20,"10/magic","")</f>
      </c>
      <c r="W17" s="140"/>
      <c r="X17" s="140"/>
    </row>
    <row r="18" spans="1:21" ht="12.75">
      <c r="A18" s="140" t="s">
        <v>378</v>
      </c>
      <c r="B18" s="140"/>
      <c r="C18" s="3" t="s">
        <v>383</v>
      </c>
      <c r="D18" s="146">
        <f>SUM(F18:J18)</f>
        <v>-5</v>
      </c>
      <c r="E18" s="146"/>
      <c r="F18" s="47">
        <f>Classes!F20</f>
        <v>0</v>
      </c>
      <c r="G18" s="47">
        <f>ConMod</f>
        <v>-5</v>
      </c>
      <c r="H18" s="47"/>
      <c r="I18" s="47">
        <f>IF(Classes!C13&gt;1,MAX(0,ChaMod),0)+IF(Race="Halfling",1,0)+IF(OR(Status="shaken",Status="sickened"),-2,0)+IF(Feats!H86&gt;0,2,0)</f>
        <v>0</v>
      </c>
      <c r="J18" s="48"/>
      <c r="L18" s="170" t="s">
        <v>805</v>
      </c>
      <c r="M18" s="170"/>
      <c r="N18" s="170"/>
      <c r="O18" s="78">
        <f>BAB</f>
        <v>0</v>
      </c>
      <c r="Q18" s="147"/>
      <c r="R18" s="147"/>
      <c r="S18" s="147"/>
      <c r="T18" s="147"/>
      <c r="U18" s="147"/>
    </row>
    <row r="19" spans="1:15" ht="12.75">
      <c r="A19" s="140" t="s">
        <v>379</v>
      </c>
      <c r="B19" s="140"/>
      <c r="C19" s="3" t="s">
        <v>384</v>
      </c>
      <c r="D19" s="146">
        <f>SUM(F19:J19)</f>
        <v>-5</v>
      </c>
      <c r="E19" s="146"/>
      <c r="F19" s="47">
        <f>Classes!G20</f>
        <v>0</v>
      </c>
      <c r="G19" s="47">
        <f>DexMod</f>
        <v>-5</v>
      </c>
      <c r="H19" s="47"/>
      <c r="I19" s="47">
        <f>IF(Classes!C13&gt;1,MAX(0,ChaMod),0)+IF(Race="Halfling",1,0)+IF(OR(Status="shaken",Status="sickened"),-2,0)+IF(Feats!H111&gt;0,2,0)</f>
        <v>0</v>
      </c>
      <c r="J19" s="48"/>
      <c r="L19" s="235" t="s">
        <v>806</v>
      </c>
      <c r="M19" s="235"/>
      <c r="N19" s="235"/>
      <c r="O19" s="236"/>
    </row>
    <row r="20" spans="1:15" ht="12.75">
      <c r="A20" s="140" t="s">
        <v>380</v>
      </c>
      <c r="B20" s="140"/>
      <c r="C20" s="3" t="s">
        <v>385</v>
      </c>
      <c r="D20" s="146">
        <f>SUM(F20:J20)</f>
        <v>-5</v>
      </c>
      <c r="E20" s="146"/>
      <c r="F20" s="47">
        <f>Classes!H20</f>
        <v>0</v>
      </c>
      <c r="G20" s="47">
        <f>WisMod</f>
        <v>-5</v>
      </c>
      <c r="H20" s="47"/>
      <c r="I20" s="47">
        <f>IF(Classes!C13&gt;1,MAX(0,ChaMod),0)+IF(Race="Halfling",1,0)+IF(OR(Status="shaken",Status="sickened"),-2,0)+IF(Feats!H109&gt;0,2,0)</f>
        <v>0</v>
      </c>
      <c r="J20" s="48"/>
      <c r="L20" s="244" t="str">
        <f>BAB&amp;IF(BAB&gt;5,"/"&amp;BAB-5&amp;IF(BAB&gt;10,"/"&amp;BAB-10&amp;IF(BAB&gt;15,"/"&amp;BAB-15,""),""),"")</f>
        <v>0</v>
      </c>
      <c r="M20" s="245"/>
      <c r="N20" s="245"/>
      <c r="O20" s="246"/>
    </row>
    <row r="21" spans="20:21" ht="12.75">
      <c r="T21" s="22"/>
      <c r="U21" s="22"/>
    </row>
    <row r="22" spans="1:24" ht="12.75">
      <c r="A22" s="170" t="s">
        <v>757</v>
      </c>
      <c r="B22" s="170"/>
      <c r="C22" s="170"/>
      <c r="D22" s="170"/>
      <c r="E22" s="170"/>
      <c r="F22" s="170"/>
      <c r="G22" s="170"/>
      <c r="H22" s="170"/>
      <c r="I22" s="170"/>
      <c r="J22" s="170"/>
      <c r="K22" s="170"/>
      <c r="N22" s="170" t="s">
        <v>771</v>
      </c>
      <c r="O22" s="170"/>
      <c r="P22" s="170"/>
      <c r="Q22" s="170"/>
      <c r="R22" s="170"/>
      <c r="S22" s="170"/>
      <c r="T22" s="170"/>
      <c r="U22" s="170"/>
      <c r="V22" s="170"/>
      <c r="W22" s="170"/>
      <c r="X22" s="170"/>
    </row>
    <row r="23" spans="1:24" ht="12.75">
      <c r="A23" s="204" t="str">
        <f>IF(ISBLANK(Gear!B6)," - ",Gear!B6)</f>
        <v> - </v>
      </c>
      <c r="B23" s="204"/>
      <c r="C23" s="204"/>
      <c r="D23" s="204"/>
      <c r="E23" s="204"/>
      <c r="F23" s="204"/>
      <c r="G23" s="204"/>
      <c r="H23" s="204"/>
      <c r="I23" s="204"/>
      <c r="J23" s="204"/>
      <c r="K23" s="204"/>
      <c r="N23" s="204" t="str">
        <f>IF(ISBLANK(Gear!B28)," - ",Gear!B28)</f>
        <v> - </v>
      </c>
      <c r="O23" s="204"/>
      <c r="P23" s="204"/>
      <c r="Q23" s="204"/>
      <c r="R23" s="204"/>
      <c r="S23" s="204"/>
      <c r="T23" s="204"/>
      <c r="U23" s="204"/>
      <c r="V23" s="204"/>
      <c r="W23" s="204"/>
      <c r="X23" s="204"/>
    </row>
    <row r="24" spans="3:24" ht="12.75">
      <c r="C24" s="144" t="s">
        <v>119</v>
      </c>
      <c r="D24" s="144"/>
      <c r="E24" s="3" t="s">
        <v>800</v>
      </c>
      <c r="F24" s="3" t="s">
        <v>315</v>
      </c>
      <c r="G24" s="3" t="s">
        <v>2</v>
      </c>
      <c r="H24" s="3" t="s">
        <v>369</v>
      </c>
      <c r="I24" s="3" t="s">
        <v>802</v>
      </c>
      <c r="J24" s="3" t="s">
        <v>15</v>
      </c>
      <c r="K24" s="3" t="s">
        <v>382</v>
      </c>
      <c r="P24" s="144" t="s">
        <v>119</v>
      </c>
      <c r="Q24" s="144"/>
      <c r="R24" s="3" t="s">
        <v>800</v>
      </c>
      <c r="S24" s="3" t="s">
        <v>315</v>
      </c>
      <c r="T24" s="3" t="s">
        <v>2</v>
      </c>
      <c r="U24" s="3" t="s">
        <v>369</v>
      </c>
      <c r="V24" s="3" t="s">
        <v>802</v>
      </c>
      <c r="W24" s="3" t="s">
        <v>15</v>
      </c>
      <c r="X24" s="3" t="s">
        <v>382</v>
      </c>
    </row>
    <row r="25" spans="1:24" ht="12.75">
      <c r="A25" s="147" t="s">
        <v>798</v>
      </c>
      <c r="B25" s="147"/>
      <c r="C25" s="146">
        <f>SUM(E25:K25)</f>
        <v>-5</v>
      </c>
      <c r="D25" s="146"/>
      <c r="E25" s="47">
        <f>BAB</f>
        <v>0</v>
      </c>
      <c r="F25" s="47">
        <f>MAX(StrMod,IF(AND(Feats!H$155&gt;0,COUNTIF(Combat!AS$2:AS$24,A23)&gt;0),DexMod,StrMod))</f>
        <v>-5</v>
      </c>
      <c r="G25" s="47">
        <f>SIGN(COUNTIF(Feats!$G$164:$G$181,A23))+SIGN(COUNTIF(Feats!$H$164:$H$181,A23))</f>
        <v>0</v>
      </c>
      <c r="H25" s="47">
        <f>IF(Gear!E7="m",1,Gear!E7)</f>
        <v>0</v>
      </c>
      <c r="I25" s="47">
        <f>IF(LOOKUP(A23,Combat!L$3:L$66,Combat!N$3:N$66),0,-4)+IF(Gear!A50,Gear!B50,0)+W15</f>
        <v>0</v>
      </c>
      <c r="J25" s="47">
        <f>LOOKUP(Size,Sizes,Races!O3:O11)</f>
        <v>0</v>
      </c>
      <c r="K25" s="47">
        <f>IF(Status="dazzled",-1,0)+IF(OR(Status="sickened",Status="shaken"),-2,0)</f>
        <v>0</v>
      </c>
      <c r="N25" s="147" t="s">
        <v>798</v>
      </c>
      <c r="O25" s="147"/>
      <c r="P25" s="146">
        <f>SUM(R25:X25)</f>
        <v>-5</v>
      </c>
      <c r="Q25" s="146"/>
      <c r="R25" s="47">
        <f>BAB</f>
        <v>0</v>
      </c>
      <c r="S25" s="47">
        <f>DexMod</f>
        <v>-5</v>
      </c>
      <c r="T25" s="47">
        <f>SIGN(COUNTIF(Feats!$G$164:$G$181,N23))+SIGN(COUNTIF(Feats!$H$164:$H$181,N23))</f>
        <v>0</v>
      </c>
      <c r="U25" s="47">
        <f>IF(Gear!E29="m",1,Gear!E29)</f>
        <v>0</v>
      </c>
      <c r="V25" s="47">
        <f>IF(LOOKUP(N23,RangedWs,Combat!X$3:X$27),0,-4)+IF(AND(OR(N23="Composite longbow",N23="Composite shortbow"),Gear!E28&gt;StrMod),-2,0)+W15</f>
        <v>0</v>
      </c>
      <c r="W25" s="47">
        <f>LOOKUP(Size,Sizes,Races!O3:O11)</f>
        <v>0</v>
      </c>
      <c r="X25" s="47">
        <f>IF(Status="dazzled",-1,0)+IF(OR(Status="sickened",Status="shaken"),-2,0)+IF(AND(LOOKUP(N23,RangedWs,Combat!Y4:Y27)="thrown",Race="Halfling"),1,0)</f>
        <v>0</v>
      </c>
    </row>
    <row r="26" spans="1:24" ht="12.75">
      <c r="A26" s="147" t="s">
        <v>799</v>
      </c>
      <c r="B26" s="147"/>
      <c r="C26" s="146" t="str">
        <f>E26&amp;IF(SUM(F26:K26)&gt;0,"+","")&amp;IF(SUM(F26:K26)&lt;&gt;0,SUM(F26:K26),"")</f>
        <v>-5</v>
      </c>
      <c r="D26" s="146"/>
      <c r="E26" s="47">
        <f>Gear!E9</f>
      </c>
      <c r="F26" s="47">
        <f>IF(StrMod&lt;=0,StrMod,TRUNC(IF(I27="Off-Hand",0.5,IF(I27="Two-Handed",1.5,1))*StrMod))</f>
        <v>-5</v>
      </c>
      <c r="G26" s="47">
        <f>SIGN(COUNTIF(Feats!$I$164:$I$181,A23))*2+SIGN(COUNTIF(Feats!$J$164:$J$181,A23))*2</f>
        <v>0</v>
      </c>
      <c r="H26" s="47">
        <f>IF(ISNUMBER(Gear!E7),Gear!E7,0)</f>
        <v>0</v>
      </c>
      <c r="I26" s="60"/>
      <c r="J26" s="61"/>
      <c r="K26" s="47">
        <f>IF(Status="sickened",-2,0)</f>
        <v>0</v>
      </c>
      <c r="N26" s="147" t="s">
        <v>799</v>
      </c>
      <c r="O26" s="147"/>
      <c r="P26" s="146">
        <f>R26&amp;IF(SUM(S26:X26)&gt;0,"+","")&amp;IF(SUM(S26:X26)&lt;&gt;0,SUM(S26:X26),"")</f>
      </c>
      <c r="Q26" s="146"/>
      <c r="R26" s="47">
        <f>Gear!E31</f>
      </c>
      <c r="S26" s="47">
        <f>IF(VLOOKUP(N23,Combat!$V$3:$AF$27,4)="thrown",StrMod,0)+IF(OR(N23="Composite longbow",N23="Composite shortbow"),MIN(StrMod,Gear!E28),0)</f>
        <v>0</v>
      </c>
      <c r="T26" s="47">
        <f>SIGN(COUNTIF(Feats!$I$164:$I$181,N23))+SIGN(COUNTIF(Feats!$J$164:$J$181,N23))</f>
        <v>0</v>
      </c>
      <c r="U26" s="47">
        <f>IF(ISNUMBER(Gear!E29),Gear!E29,0)</f>
        <v>0</v>
      </c>
      <c r="V26" s="60"/>
      <c r="W26" s="61"/>
      <c r="X26" s="47">
        <f>IF(Status="sickened",-2,0)</f>
        <v>0</v>
      </c>
    </row>
    <row r="27" spans="1:24" ht="12.75">
      <c r="A27" s="147" t="s">
        <v>770</v>
      </c>
      <c r="B27" s="147"/>
      <c r="C27" s="145">
        <f>Gear!E10</f>
      </c>
      <c r="D27" s="145"/>
      <c r="G27" s="142" t="s">
        <v>763</v>
      </c>
      <c r="H27" s="142"/>
      <c r="I27" s="141">
        <f>Gear!E6</f>
        <v>0</v>
      </c>
      <c r="J27" s="141"/>
      <c r="K27" s="141"/>
      <c r="N27" s="147" t="s">
        <v>770</v>
      </c>
      <c r="O27" s="147"/>
      <c r="P27" s="145">
        <f>Gear!E32</f>
      </c>
      <c r="Q27" s="145"/>
      <c r="U27" s="142" t="s">
        <v>789</v>
      </c>
      <c r="V27" s="143"/>
      <c r="W27" s="141">
        <f>LOOKUP(N23,RangedWs,Combat!AB$3:AB$27)*IF(Feats!H$83&gt;0,IF(LOOKUP(Sheet!N23,RangedWs,Combat!Y$3:Y$27="projectile"),1.5,2),1)</f>
        <v>0</v>
      </c>
      <c r="X27" s="141"/>
    </row>
    <row r="28" spans="1:22" ht="12.75">
      <c r="A28" s="147" t="s">
        <v>801</v>
      </c>
      <c r="B28" s="147"/>
      <c r="C28" s="147"/>
      <c r="D28" s="141" t="str">
        <f>IF(I27&lt;&gt;"Off-Hand",C25&amp;IF(BAB&gt;5,"/"&amp;C25-5&amp;IF(BAB&gt;10,"/"&amp;C25-10&amp;IF(BAB&gt;15,"/"&amp;C25-15,""),""),""),C25&amp;IF(Feats!H$106&gt;0,"/"&amp;C25-5&amp;IF(Feats!H$89&gt;0,"/"&amp;C25-10,""),""))</f>
        <v>-5</v>
      </c>
      <c r="E28" s="141"/>
      <c r="F28" s="141"/>
      <c r="G28" s="147" t="s">
        <v>830</v>
      </c>
      <c r="H28" s="147"/>
      <c r="I28" s="141" t="str">
        <f>LOOKUP(A23,Combat!L$3:L$66,Combat!R$3:R$66)</f>
        <v> - </v>
      </c>
      <c r="J28" s="141"/>
      <c r="K28" s="141"/>
      <c r="N28" s="147" t="s">
        <v>801</v>
      </c>
      <c r="O28" s="147"/>
      <c r="P28" s="147"/>
      <c r="Q28" s="141" t="str">
        <f>P25&amp;IF(BAB&gt;5,"/"&amp;P25-5&amp;IF(BAB&gt;10,"/"&amp;P25-10&amp;IF(BAB&gt;15,"/"&amp;P25-15,""),""),"")</f>
        <v>-5</v>
      </c>
      <c r="R28" s="141"/>
      <c r="S28" s="141"/>
      <c r="U28" s="147" t="s">
        <v>803</v>
      </c>
      <c r="V28" s="147"/>
    </row>
    <row r="29" spans="2:30" ht="12.75">
      <c r="B29" s="147" t="s">
        <v>767</v>
      </c>
      <c r="C29" s="147"/>
      <c r="D29" s="141">
        <f>IF(ISBLANK(Gear!B8),"",Gear!B8)</f>
      </c>
      <c r="E29" s="141"/>
      <c r="F29" s="141"/>
      <c r="G29" s="141"/>
      <c r="H29" s="141"/>
      <c r="I29" s="141"/>
      <c r="J29" s="141"/>
      <c r="K29" s="141"/>
      <c r="O29" s="147" t="s">
        <v>767</v>
      </c>
      <c r="P29" s="147"/>
      <c r="Q29" s="141"/>
      <c r="R29" s="141"/>
      <c r="S29" s="141"/>
      <c r="T29" s="141"/>
      <c r="U29" s="141"/>
      <c r="V29" s="141"/>
      <c r="W29" s="141"/>
      <c r="X29" s="141"/>
      <c r="AB29" s="140"/>
      <c r="AC29" s="140"/>
      <c r="AD29" s="140"/>
    </row>
    <row r="30" spans="15:21" ht="12.75">
      <c r="O30" s="147" t="s">
        <v>830</v>
      </c>
      <c r="P30" s="147"/>
      <c r="Q30" s="141" t="str">
        <f>LOOKUP(N23,RangedWs,Combat!AC$3:AC$27)</f>
        <v> - </v>
      </c>
      <c r="R30" s="141"/>
      <c r="S30" s="141"/>
      <c r="T30" s="22"/>
      <c r="U30" s="22"/>
    </row>
    <row r="31" spans="1:31" ht="12.75">
      <c r="A31" s="204" t="str">
        <f>IF(ISBLANK(Gear!B13)," - ",Gear!B13)</f>
        <v> - </v>
      </c>
      <c r="B31" s="204"/>
      <c r="C31" s="204"/>
      <c r="D31" s="204"/>
      <c r="E31" s="204"/>
      <c r="F31" s="204"/>
      <c r="G31" s="204"/>
      <c r="H31" s="204"/>
      <c r="I31" s="204"/>
      <c r="J31" s="204"/>
      <c r="K31" s="204"/>
      <c r="N31" s="204" t="str">
        <f>IF(ISBLANK(Gear!B35)," - ",Gear!B35)</f>
        <v> - </v>
      </c>
      <c r="O31" s="204"/>
      <c r="P31" s="204"/>
      <c r="Q31" s="204"/>
      <c r="R31" s="204"/>
      <c r="S31" s="204"/>
      <c r="T31" s="204"/>
      <c r="U31" s="204"/>
      <c r="V31" s="204"/>
      <c r="W31" s="204"/>
      <c r="X31" s="204"/>
      <c r="AB31" s="140"/>
      <c r="AC31" s="140"/>
      <c r="AD31" s="140"/>
      <c r="AE31" s="140"/>
    </row>
    <row r="32" spans="3:24" ht="12.75">
      <c r="C32" s="144" t="s">
        <v>119</v>
      </c>
      <c r="D32" s="144"/>
      <c r="E32" s="3" t="s">
        <v>800</v>
      </c>
      <c r="F32" s="3" t="s">
        <v>315</v>
      </c>
      <c r="G32" s="3" t="s">
        <v>2</v>
      </c>
      <c r="H32" s="3" t="s">
        <v>369</v>
      </c>
      <c r="I32" s="3" t="s">
        <v>802</v>
      </c>
      <c r="J32" s="3" t="s">
        <v>15</v>
      </c>
      <c r="K32" s="3" t="s">
        <v>382</v>
      </c>
      <c r="P32" s="144" t="s">
        <v>119</v>
      </c>
      <c r="Q32" s="144"/>
      <c r="R32" s="3" t="s">
        <v>800</v>
      </c>
      <c r="S32" s="3" t="s">
        <v>315</v>
      </c>
      <c r="T32" s="3" t="s">
        <v>2</v>
      </c>
      <c r="U32" s="3" t="s">
        <v>369</v>
      </c>
      <c r="V32" s="3" t="s">
        <v>802</v>
      </c>
      <c r="W32" s="3" t="s">
        <v>15</v>
      </c>
      <c r="X32" s="3" t="s">
        <v>382</v>
      </c>
    </row>
    <row r="33" spans="1:24" ht="12.75">
      <c r="A33" s="147" t="s">
        <v>798</v>
      </c>
      <c r="B33" s="147"/>
      <c r="C33" s="146">
        <f>SUM(E33:K33)</f>
        <v>-5</v>
      </c>
      <c r="D33" s="146"/>
      <c r="E33" s="47">
        <f>BAB</f>
        <v>0</v>
      </c>
      <c r="F33" s="47">
        <f>MAX(StrMod,IF(AND(Feats!H$155&gt;0,COUNTIF(Combat!AS$2:AS$24,A31)&gt;0),DexMod,StrMod))</f>
        <v>-5</v>
      </c>
      <c r="G33" s="47">
        <f>SIGN(COUNTIF(Feats!$G$164:$G$181,A31))+SIGN(COUNTIF(Feats!$H$164:$H$181,A31))</f>
        <v>0</v>
      </c>
      <c r="H33" s="47">
        <f>IF(Gear!E14="m",1,Gear!E14)</f>
        <v>0</v>
      </c>
      <c r="I33" s="47">
        <f>IF(LOOKUP(A31,Combat!L$3:L$66,Combat!N$3:N$66),0,-4)+IF(Gear!A50,Gear!C50,0)+IF(Gear!A51,Gear!B51,0)+W15</f>
        <v>0</v>
      </c>
      <c r="J33" s="47">
        <f>LOOKUP(Size,Sizes,Races!O3:O11)</f>
        <v>0</v>
      </c>
      <c r="K33" s="47">
        <f>IF(Status="dazzled",-1,0)+IF(OR(Status="sickened",Status="shaken"),-2,0)</f>
        <v>0</v>
      </c>
      <c r="N33" s="147" t="s">
        <v>798</v>
      </c>
      <c r="O33" s="147"/>
      <c r="P33" s="146">
        <f>SUM(R33:X33)</f>
        <v>-5</v>
      </c>
      <c r="Q33" s="146"/>
      <c r="R33" s="47">
        <f>BAB</f>
        <v>0</v>
      </c>
      <c r="S33" s="47">
        <f>DexMod</f>
        <v>-5</v>
      </c>
      <c r="T33" s="47">
        <f>SIGN(COUNTIF(Feats!$G$164:$G$181,N31))+SIGN(COUNTIF(Feats!$H$164:$H$181,N31))</f>
        <v>0</v>
      </c>
      <c r="U33" s="47">
        <f>IF(Gear!E36="m",1,Gear!E36)</f>
        <v>0</v>
      </c>
      <c r="V33" s="47">
        <f>IF(LOOKUP(N31,RangedWs,Combat!X$3:X$27),0,-4)+IF(AND(OR(N31="Composite longbow",N31="Composite shortbow"),Gear!E35&gt;StrMod),-2,0)+W15</f>
        <v>0</v>
      </c>
      <c r="W33" s="47">
        <f>LOOKUP(Size,Sizes,Races!O3:O11)</f>
        <v>0</v>
      </c>
      <c r="X33" s="47">
        <f>IF(Status="dazzled",-1,0)+IF(OR(Status="sickened",Status="shaken"),-2,0)+IF(AND(LOOKUP(N31,RangedWs,Combat!Y4:Y27)="thrown",Race="Halfling"),1,0)</f>
        <v>0</v>
      </c>
    </row>
    <row r="34" spans="1:24" ht="12.75">
      <c r="A34" s="147" t="s">
        <v>799</v>
      </c>
      <c r="B34" s="147"/>
      <c r="C34" s="146" t="str">
        <f>E34&amp;IF(SUM(F34:K34)&gt;0,"+","")&amp;IF(SUM(F34:K34)&lt;&gt;0,SUM(F34:K34),"")</f>
        <v>-5</v>
      </c>
      <c r="D34" s="146"/>
      <c r="E34" s="47">
        <f>Gear!E16</f>
      </c>
      <c r="F34" s="47">
        <f>IF(StrMod&lt;=0,StrMod,TRUNC(IF(I35="Off-Hand",0.5,IF(I35="Two-Handed",1.5,1))*StrMod))</f>
        <v>-5</v>
      </c>
      <c r="G34" s="47">
        <f>SIGN(COUNTIF(Feats!$I$164:$I$181,A31))*2+SIGN(COUNTIF(Feats!$J$164:$J$181,A31))*2</f>
        <v>0</v>
      </c>
      <c r="H34" s="47">
        <f>IF(ISNUMBER(Gear!E14),Gear!E14,0)</f>
        <v>0</v>
      </c>
      <c r="I34" s="60"/>
      <c r="J34" s="61"/>
      <c r="K34" s="47">
        <f>IF(Status="sickened",-2,0)</f>
        <v>0</v>
      </c>
      <c r="N34" s="147" t="s">
        <v>799</v>
      </c>
      <c r="O34" s="147"/>
      <c r="P34" s="146">
        <f>R34&amp;IF(SUM(S34:X34)&gt;0,"+","")&amp;IF(SUM(S34:X34)&lt;&gt;0,SUM(S34:X34),"")</f>
      </c>
      <c r="Q34" s="146"/>
      <c r="R34" s="47">
        <f>Gear!E38</f>
      </c>
      <c r="S34" s="47">
        <f>IF(VLOOKUP(N31,Combat!$V$3:$AF$27,4)="thrown",StrMod,0)+IF(OR(N31="Composite longbow",N31="Composite shortbow"),MIN(StrMod,Gear!E35),0)</f>
        <v>0</v>
      </c>
      <c r="T34" s="47">
        <f>SIGN(COUNTIF(Feats!$I$164:$I$181,N31))+SIGN(COUNTIF(Feats!$J$164:$J$181,N31))</f>
        <v>0</v>
      </c>
      <c r="U34" s="47">
        <f>IF(ISNUMBER(Gear!E36),Gear!E36,0)</f>
        <v>0</v>
      </c>
      <c r="V34" s="60"/>
      <c r="W34" s="61"/>
      <c r="X34" s="47">
        <f>IF(Status="sickened",-2,0)</f>
        <v>0</v>
      </c>
    </row>
    <row r="35" spans="1:24" ht="12.75">
      <c r="A35" s="147" t="s">
        <v>770</v>
      </c>
      <c r="B35" s="147"/>
      <c r="C35" s="145">
        <f>Gear!E17</f>
      </c>
      <c r="D35" s="145"/>
      <c r="G35" s="142" t="s">
        <v>763</v>
      </c>
      <c r="H35" s="142"/>
      <c r="I35" s="141">
        <f>Gear!E13</f>
        <v>0</v>
      </c>
      <c r="J35" s="141"/>
      <c r="K35" s="141"/>
      <c r="N35" s="147" t="s">
        <v>770</v>
      </c>
      <c r="O35" s="147"/>
      <c r="P35" s="145">
        <f>Gear!E39</f>
      </c>
      <c r="Q35" s="145"/>
      <c r="U35" s="142" t="s">
        <v>789</v>
      </c>
      <c r="V35" s="143"/>
      <c r="W35" s="141">
        <f>LOOKUP(N31,RangedWs,Combat!AB$3:AB$27)*IF(Feats!H$83&gt;0,IF(LOOKUP(Sheet!N31,RangedWs,Combat!Y$3:Y$27="projectile"),1.5,2),1)</f>
        <v>0</v>
      </c>
      <c r="X35" s="141"/>
    </row>
    <row r="36" spans="1:22" ht="12.75">
      <c r="A36" s="147" t="s">
        <v>801</v>
      </c>
      <c r="B36" s="147"/>
      <c r="C36" s="147"/>
      <c r="D36" s="141" t="str">
        <f>IF(I35&lt;&gt;"Off-Hand",C33&amp;IF(BAB&gt;5,"/"&amp;C33-5&amp;IF(BAB&gt;10,"/"&amp;C33-10&amp;IF(BAB&gt;15,"/"&amp;C33-15,""),""),""),C33&amp;IF(Feats!H$106&gt;0,"/"&amp;C33-5&amp;IF(Feats!H$89&gt;0,"/"&amp;C33-10,""),""))</f>
        <v>-5</v>
      </c>
      <c r="E36" s="141"/>
      <c r="F36" s="141"/>
      <c r="G36" s="147" t="s">
        <v>830</v>
      </c>
      <c r="H36" s="147"/>
      <c r="I36" s="141" t="str">
        <f>LOOKUP(A31,Combat!L$3:L$66,Combat!R$3:R$66)</f>
        <v> - </v>
      </c>
      <c r="J36" s="141"/>
      <c r="K36" s="141"/>
      <c r="N36" s="147" t="s">
        <v>801</v>
      </c>
      <c r="O36" s="147"/>
      <c r="P36" s="147"/>
      <c r="Q36" s="141" t="str">
        <f>P33&amp;IF(BAB&gt;5,"/"&amp;P33-5&amp;IF(BAB&gt;10,"/"&amp;P33-10&amp;IF(BAB&gt;15,"/"&amp;P33-15,""),""),"")</f>
        <v>-5</v>
      </c>
      <c r="R36" s="141"/>
      <c r="S36" s="141"/>
      <c r="U36" s="147" t="s">
        <v>803</v>
      </c>
      <c r="V36" s="147"/>
    </row>
    <row r="37" spans="2:24" ht="12.75">
      <c r="B37" s="147" t="s">
        <v>767</v>
      </c>
      <c r="C37" s="147"/>
      <c r="D37" s="141">
        <f>IF(ISBLANK(Gear!B15),"",Gear!B15)</f>
      </c>
      <c r="E37" s="141"/>
      <c r="F37" s="141"/>
      <c r="G37" s="141"/>
      <c r="H37" s="141"/>
      <c r="I37" s="141"/>
      <c r="J37" s="141"/>
      <c r="K37" s="141"/>
      <c r="O37" s="147" t="s">
        <v>767</v>
      </c>
      <c r="P37" s="147"/>
      <c r="Q37" s="141"/>
      <c r="R37" s="141"/>
      <c r="S37" s="141"/>
      <c r="T37" s="141"/>
      <c r="U37" s="141"/>
      <c r="V37" s="141"/>
      <c r="W37" s="141"/>
      <c r="X37" s="141"/>
    </row>
    <row r="38" spans="15:21" ht="12.75">
      <c r="O38" s="147" t="s">
        <v>830</v>
      </c>
      <c r="P38" s="147"/>
      <c r="Q38" s="141" t="str">
        <f>LOOKUP(N31,RangedWs,Combat!AC$3:AC$27)</f>
        <v> - </v>
      </c>
      <c r="R38" s="141"/>
      <c r="S38" s="141"/>
      <c r="T38" s="22"/>
      <c r="U38" s="22"/>
    </row>
    <row r="39" spans="1:24" ht="12.75">
      <c r="A39" s="204" t="str">
        <f>IF(ISBLANK(Gear!B20)," - ",Gear!B20)</f>
        <v> - </v>
      </c>
      <c r="B39" s="204"/>
      <c r="C39" s="204"/>
      <c r="D39" s="204"/>
      <c r="E39" s="204"/>
      <c r="F39" s="204"/>
      <c r="G39" s="204"/>
      <c r="H39" s="204"/>
      <c r="I39" s="204"/>
      <c r="J39" s="204"/>
      <c r="K39" s="204"/>
      <c r="N39" s="204" t="str">
        <f>IF(ISBLANK(Gear!B42)," - ",Gear!B42)</f>
        <v> - </v>
      </c>
      <c r="O39" s="204"/>
      <c r="P39" s="204"/>
      <c r="Q39" s="204"/>
      <c r="R39" s="204"/>
      <c r="S39" s="204"/>
      <c r="T39" s="204"/>
      <c r="U39" s="204"/>
      <c r="V39" s="204"/>
      <c r="W39" s="204"/>
      <c r="X39" s="204"/>
    </row>
    <row r="40" spans="3:24" ht="12.75">
      <c r="C40" s="144" t="s">
        <v>119</v>
      </c>
      <c r="D40" s="144"/>
      <c r="E40" s="3" t="s">
        <v>800</v>
      </c>
      <c r="F40" s="3" t="s">
        <v>315</v>
      </c>
      <c r="G40" s="3" t="s">
        <v>2</v>
      </c>
      <c r="H40" s="3" t="s">
        <v>369</v>
      </c>
      <c r="I40" s="3" t="s">
        <v>802</v>
      </c>
      <c r="J40" s="3" t="s">
        <v>15</v>
      </c>
      <c r="K40" s="3" t="s">
        <v>382</v>
      </c>
      <c r="P40" s="144" t="s">
        <v>119</v>
      </c>
      <c r="Q40" s="144"/>
      <c r="R40" s="3" t="s">
        <v>800</v>
      </c>
      <c r="S40" s="3" t="s">
        <v>315</v>
      </c>
      <c r="T40" s="3" t="s">
        <v>2</v>
      </c>
      <c r="U40" s="3" t="s">
        <v>369</v>
      </c>
      <c r="V40" s="3" t="s">
        <v>802</v>
      </c>
      <c r="W40" s="3" t="s">
        <v>15</v>
      </c>
      <c r="X40" s="3" t="s">
        <v>382</v>
      </c>
    </row>
    <row r="41" spans="1:24" ht="12.75">
      <c r="A41" s="147" t="s">
        <v>798</v>
      </c>
      <c r="B41" s="147"/>
      <c r="C41" s="146">
        <f>SUM(E41:K41)</f>
        <v>-5</v>
      </c>
      <c r="D41" s="146"/>
      <c r="E41" s="47">
        <f>BAB</f>
        <v>0</v>
      </c>
      <c r="F41" s="47">
        <f>MAX(StrMod,IF(AND(Feats!H$155&gt;0,COUNTIF(Combat!AS$2:AS$24,A39)&gt;0),DexMod,StrMod))</f>
        <v>-5</v>
      </c>
      <c r="G41" s="47">
        <f>SIGN(COUNTIF(Feats!$G$164:$G$181,A39))+SIGN(COUNTIF(Feats!$H$164:$H$181,A39))</f>
        <v>0</v>
      </c>
      <c r="H41" s="47">
        <f>IF(Gear!E21="m",1,Gear!E21)</f>
        <v>0</v>
      </c>
      <c r="I41" s="47">
        <f>IF(LOOKUP(A39,Combat!L$3:L$66,Combat!N$3:N$66),0,-4)+IF(Gear!A51,Gear!C51,0)+W15</f>
        <v>0</v>
      </c>
      <c r="J41" s="47">
        <f>LOOKUP(Size,Sizes,Races!O3:O11)</f>
        <v>0</v>
      </c>
      <c r="K41" s="47">
        <f>IF(Status="dazzled",-1,0)+IF(OR(Status="sickened",Status="shaken"),-2,0)</f>
        <v>0</v>
      </c>
      <c r="N41" s="147" t="s">
        <v>798</v>
      </c>
      <c r="O41" s="147"/>
      <c r="P41" s="146">
        <f>SUM(R41:X41)</f>
        <v>-5</v>
      </c>
      <c r="Q41" s="146"/>
      <c r="R41" s="47">
        <f>BAB</f>
        <v>0</v>
      </c>
      <c r="S41" s="47">
        <f>DexMod</f>
        <v>-5</v>
      </c>
      <c r="T41" s="47">
        <f>SIGN(COUNTIF(Feats!$G$164:$G$181,N39))+SIGN(COUNTIF(Feats!$H$164:$H$181,N39))</f>
        <v>0</v>
      </c>
      <c r="U41" s="47">
        <f>IF(Gear!E43="m",1,Gear!E43)</f>
        <v>0</v>
      </c>
      <c r="V41" s="47">
        <f>IF(LOOKUP(N39,RangedWs,Combat!X$3:X$27),0,-4)+IF(AND(OR(N39="Composite longbow",N39="Composite shortbow"),Gear!E42&gt;StrMod),-2,0)+W15</f>
        <v>0</v>
      </c>
      <c r="W41" s="47">
        <f>LOOKUP(Size,Sizes,Races!O3:O11)</f>
        <v>0</v>
      </c>
      <c r="X41" s="47">
        <f>IF(Status="dazzled",-1,0)+IF(OR(Status="sickened",Status="shaken"),-2,0)+IF(AND(LOOKUP(N39,RangedWs,Combat!Y4:Y27)="thrown",Race="Halfling"),1,0)</f>
        <v>0</v>
      </c>
    </row>
    <row r="42" spans="1:24" ht="12.75">
      <c r="A42" s="147" t="s">
        <v>799</v>
      </c>
      <c r="B42" s="147"/>
      <c r="C42" s="146" t="str">
        <f>E42&amp;IF(SUM(F42:K42)&gt;0,"+","")&amp;IF(SUM(F42:K42)&lt;&gt;0,SUM(F42:K42),"")</f>
        <v>-5</v>
      </c>
      <c r="D42" s="146"/>
      <c r="E42" s="47">
        <f>Gear!E23</f>
      </c>
      <c r="F42" s="47">
        <f>IF(StrMod&lt;=0,StrMod,TRUNC(IF(I43="Off-Hand",0.5,IF(I43="Two-Handed",1.5,1))*StrMod))</f>
        <v>-5</v>
      </c>
      <c r="G42" s="47">
        <f>SIGN(COUNTIF(Feats!$I$164:$I$181,A39))*2+SIGN(COUNTIF(Feats!$J$164:$J$181,A39))*2</f>
        <v>0</v>
      </c>
      <c r="H42" s="47">
        <f>IF(ISNUMBER(Gear!E21),Gear!E21,0)</f>
        <v>0</v>
      </c>
      <c r="I42" s="60"/>
      <c r="J42" s="61"/>
      <c r="K42" s="47">
        <f>IF(Status="sickened",-2,0)</f>
        <v>0</v>
      </c>
      <c r="N42" s="147" t="s">
        <v>799</v>
      </c>
      <c r="O42" s="147"/>
      <c r="P42" s="146">
        <f>R42&amp;IF(SUM(S42:X42)&gt;0,"+","")&amp;IF(SUM(S42:X42)&lt;&gt;0,SUM(S42:X42),"")</f>
      </c>
      <c r="Q42" s="146"/>
      <c r="R42" s="47">
        <f>Gear!E45</f>
      </c>
      <c r="S42" s="47">
        <f>IF(VLOOKUP(N39,Combat!$V$3:$AF$27,4)="thrown",StrMod,0)+IF(OR(N39="Composite longbow",N39="Composite shortbow"),MIN(StrMod,Gear!E42),0)</f>
        <v>0</v>
      </c>
      <c r="T42" s="47">
        <f>SIGN(COUNTIF(Feats!$I$164:$I$181,N39))+SIGN(COUNTIF(Feats!$J$164:$J$181,N39))</f>
        <v>0</v>
      </c>
      <c r="U42" s="47">
        <f>IF(ISNUMBER(Gear!E43),Gear!E43,0)</f>
        <v>0</v>
      </c>
      <c r="V42" s="60"/>
      <c r="W42" s="61"/>
      <c r="X42" s="47">
        <f>IF(Status="sickened",-2,0)</f>
        <v>0</v>
      </c>
    </row>
    <row r="43" spans="1:24" ht="12.75">
      <c r="A43" s="147" t="s">
        <v>770</v>
      </c>
      <c r="B43" s="147"/>
      <c r="C43" s="145">
        <f>Gear!E24</f>
      </c>
      <c r="D43" s="145"/>
      <c r="G43" s="142" t="s">
        <v>763</v>
      </c>
      <c r="H43" s="142"/>
      <c r="I43" s="141">
        <f>Gear!E20</f>
        <v>0</v>
      </c>
      <c r="J43" s="141"/>
      <c r="K43" s="141"/>
      <c r="N43" s="147" t="s">
        <v>770</v>
      </c>
      <c r="O43" s="147"/>
      <c r="P43" s="145">
        <f>Gear!E46</f>
      </c>
      <c r="Q43" s="145"/>
      <c r="U43" s="142" t="s">
        <v>789</v>
      </c>
      <c r="V43" s="143"/>
      <c r="W43" s="141">
        <f>LOOKUP(N39,RangedWs,Combat!AB$3:AB$27)*IF(Feats!H$83&gt;0,IF(LOOKUP(Sheet!N39,RangedWs,Combat!Y$3:Y$27="projectile"),1.5,2),1)</f>
        <v>0</v>
      </c>
      <c r="X43" s="141"/>
    </row>
    <row r="44" spans="1:22" ht="12.75">
      <c r="A44" s="147" t="s">
        <v>801</v>
      </c>
      <c r="B44" s="147"/>
      <c r="C44" s="147"/>
      <c r="D44" s="141" t="str">
        <f>IF(I43&lt;&gt;"Off-Hand",C41&amp;IF(BAB&gt;5,"/"&amp;C41-5&amp;IF(BAB&gt;10,"/"&amp;C41-10&amp;IF(BAB&gt;15,"/"&amp;C41-15,""),""),""),C41&amp;IF(Feats!H$106&gt;0,"/"&amp;C41-5&amp;IF(Feats!H$89&gt;0,"/"&amp;C41-10,""),""))</f>
        <v>-5</v>
      </c>
      <c r="E44" s="141"/>
      <c r="F44" s="141"/>
      <c r="G44" s="147" t="s">
        <v>830</v>
      </c>
      <c r="H44" s="147"/>
      <c r="I44" s="141" t="str">
        <f>LOOKUP(A39,Combat!L$3:L$66,Combat!R$3:R$66)</f>
        <v> - </v>
      </c>
      <c r="J44" s="141"/>
      <c r="K44" s="141"/>
      <c r="N44" s="147" t="s">
        <v>801</v>
      </c>
      <c r="O44" s="147"/>
      <c r="P44" s="147"/>
      <c r="Q44" s="141" t="str">
        <f>P41&amp;IF(BAB&gt;5,"/"&amp;P41-5&amp;IF(BAB&gt;10,"/"&amp;P41-10&amp;IF(BAB&gt;15,"/"&amp;P41-15,""),""),"")</f>
        <v>-5</v>
      </c>
      <c r="R44" s="141"/>
      <c r="S44" s="141"/>
      <c r="U44" s="147" t="s">
        <v>803</v>
      </c>
      <c r="V44" s="147"/>
    </row>
    <row r="45" spans="2:24" ht="12.75">
      <c r="B45" s="147" t="s">
        <v>767</v>
      </c>
      <c r="C45" s="147"/>
      <c r="D45" s="141">
        <f>IF(ISBLANK(Gear!B22),"",Gear!B22)</f>
      </c>
      <c r="E45" s="141"/>
      <c r="F45" s="141"/>
      <c r="G45" s="141"/>
      <c r="H45" s="141"/>
      <c r="I45" s="141"/>
      <c r="J45" s="141"/>
      <c r="K45" s="141"/>
      <c r="O45" s="147" t="s">
        <v>767</v>
      </c>
      <c r="P45" s="147"/>
      <c r="Q45" s="141"/>
      <c r="R45" s="141"/>
      <c r="S45" s="141"/>
      <c r="T45" s="141"/>
      <c r="U45" s="141"/>
      <c r="V45" s="141"/>
      <c r="W45" s="141"/>
      <c r="X45" s="141"/>
    </row>
    <row r="46" spans="15:21" ht="12.75">
      <c r="O46" s="147" t="s">
        <v>830</v>
      </c>
      <c r="P46" s="147"/>
      <c r="Q46" s="141" t="str">
        <f>LOOKUP(N39,RangedWs,Combat!AC$3:AC$27)</f>
        <v> - </v>
      </c>
      <c r="R46" s="141"/>
      <c r="S46" s="141"/>
      <c r="T46" s="22"/>
      <c r="U46" s="22"/>
    </row>
    <row r="47" spans="1:21" ht="12.75">
      <c r="A47" s="157" t="s">
        <v>815</v>
      </c>
      <c r="B47" s="158"/>
      <c r="C47" s="158"/>
      <c r="D47" s="158"/>
      <c r="E47" s="158"/>
      <c r="F47" s="158"/>
      <c r="G47" s="159"/>
      <c r="I47" s="157" t="s">
        <v>825</v>
      </c>
      <c r="J47" s="158"/>
      <c r="K47" s="158"/>
      <c r="L47" s="158"/>
      <c r="M47" s="158"/>
      <c r="N47" s="22"/>
      <c r="O47" s="22"/>
      <c r="P47" s="22"/>
      <c r="Q47" s="22"/>
      <c r="R47" s="22"/>
      <c r="T47" s="22"/>
      <c r="U47" s="22"/>
    </row>
    <row r="48" spans="1:21" ht="12.75">
      <c r="A48" s="147" t="s">
        <v>816</v>
      </c>
      <c r="B48" s="147"/>
      <c r="C48" s="147"/>
      <c r="D48" s="147"/>
      <c r="E48" s="3">
        <f>BAB+StrMod+LOOKUP(Size,Sizes,Races!P3:P11)+IF(Feats!H98&gt;0,4,0)</f>
        <v>-5</v>
      </c>
      <c r="I48" s="147" t="s">
        <v>800</v>
      </c>
      <c r="J48" s="147"/>
      <c r="K48" s="147"/>
      <c r="L48" s="152">
        <f>IF(ISBLANK(Race),0,LOOKUP(Race,Races,Races!B3:L3))+IF(Classes!C5&gt;0,10,0)+TRUNC(Classes!C12/3)*10</f>
        <v>0</v>
      </c>
      <c r="M48" s="152"/>
      <c r="O48" s="170" t="s">
        <v>765</v>
      </c>
      <c r="P48" s="170"/>
      <c r="Q48" s="141">
        <f>IF(ISBLANK(Gear!H6),"",Gear!H6)</f>
      </c>
      <c r="R48" s="141"/>
      <c r="S48" s="141"/>
      <c r="T48" s="141"/>
      <c r="U48" s="22"/>
    </row>
    <row r="49" spans="4:24" ht="12.75">
      <c r="D49" s="140" t="s">
        <v>822</v>
      </c>
      <c r="E49" s="140"/>
      <c r="F49" s="140" t="s">
        <v>823</v>
      </c>
      <c r="G49" s="140"/>
      <c r="I49" s="147" t="s">
        <v>827</v>
      </c>
      <c r="J49" s="147"/>
      <c r="K49" s="147"/>
      <c r="L49" s="152">
        <f>IF(OR(Status="blinded",Status="entangled",Status="exhausted"),0.5,1)*LOOKUP(Gear!H36,Combat!A44:A53,IF(AND(Race&lt;&gt;"Dwarf",OR(Gear!I14="Heavy",Gear!I14="Medium",Sheet!W206&gt;Sheet!W158)),Combat!B44:B53,Combat!A44:A53))</f>
        <v>0</v>
      </c>
      <c r="M49" s="152"/>
      <c r="N49" s="22"/>
      <c r="O49" s="147" t="s">
        <v>767</v>
      </c>
      <c r="P49" s="147"/>
      <c r="Q49" s="141">
        <f>IF(ISBLANK(Gear!H8),"",Gear!H8)</f>
      </c>
      <c r="R49" s="141"/>
      <c r="S49" s="141"/>
      <c r="T49" s="141"/>
      <c r="U49" s="141"/>
      <c r="V49" s="141"/>
      <c r="W49" s="141"/>
      <c r="X49" s="141"/>
    </row>
    <row r="50" spans="1:21" ht="12.75">
      <c r="A50" s="147" t="s">
        <v>819</v>
      </c>
      <c r="B50" s="147"/>
      <c r="C50" s="147"/>
      <c r="D50" s="152">
        <f>StrMod+LOOKUP(Size,Sizes,Races!P3:P11)+IF(Feats!H93&gt;0,4,0)</f>
        <v>-5</v>
      </c>
      <c r="E50" s="152"/>
      <c r="F50" s="152">
        <f>StrMod+LOOKUP(Size,Sizes,Races!P3:P11)+IF(Race="Dwarf",4,0)</f>
        <v>-5</v>
      </c>
      <c r="G50" s="152"/>
      <c r="I50" s="147" t="s">
        <v>275</v>
      </c>
      <c r="J50" s="147"/>
      <c r="K50" s="147"/>
      <c r="L50" s="152">
        <f>IF(OR(Status="entangled",Status="exhausted",Status="fatigued"),"can't",(4+IF(Feats!H132&gt;0,1,0)+IF(OR(W206&gt;W159,Gear!I14="Heavy"),-1,0))*L49)</f>
        <v>0</v>
      </c>
      <c r="M50" s="152"/>
      <c r="O50" s="170" t="s">
        <v>768</v>
      </c>
      <c r="P50" s="170"/>
      <c r="Q50" s="141">
        <f>IF(ISBLANK(Gear!H16),"",Gear!H16)</f>
      </c>
      <c r="R50" s="141"/>
      <c r="S50" s="141"/>
      <c r="T50" s="141"/>
      <c r="U50" s="22"/>
    </row>
    <row r="51" spans="1:24" ht="12.75">
      <c r="A51" s="147" t="s">
        <v>820</v>
      </c>
      <c r="B51" s="147"/>
      <c r="C51" s="147"/>
      <c r="D51" s="152">
        <f>StrMod+LOOKUP(Size,Sizes,Races!P3:P11)+IF(Feats!H100&gt;0,4,0)</f>
        <v>-5</v>
      </c>
      <c r="E51" s="152"/>
      <c r="F51" s="152">
        <f>MAX(StrMod,DexMod)+LOOKUP(Size,Sizes,Races!P3:P11)+IF(Race="Dwarf",4,0)</f>
        <v>-5</v>
      </c>
      <c r="G51" s="152"/>
      <c r="I51" s="147" t="s">
        <v>828</v>
      </c>
      <c r="J51" s="147"/>
      <c r="K51" s="147"/>
      <c r="L51" s="152" t="str">
        <f>L49/10&amp;" miles"</f>
        <v>0 miles</v>
      </c>
      <c r="M51" s="152"/>
      <c r="O51" s="147" t="s">
        <v>767</v>
      </c>
      <c r="P51" s="147"/>
      <c r="Q51" s="141">
        <f>IF(ISBLANK(Gear!H18),"",Gear!H18)</f>
      </c>
      <c r="R51" s="141"/>
      <c r="S51" s="141"/>
      <c r="T51" s="141"/>
      <c r="U51" s="141"/>
      <c r="V51" s="141"/>
      <c r="W51" s="141"/>
      <c r="X51" s="141"/>
    </row>
    <row r="52" spans="1:21" ht="12.75">
      <c r="A52" s="147" t="s">
        <v>821</v>
      </c>
      <c r="B52" s="147"/>
      <c r="C52" s="147"/>
      <c r="D52" s="152">
        <f>StrMod+LOOKUP(Size,Sizes,Races!P3:P11)+IF(Feats!H104&gt;0,4,0)</f>
        <v>-5</v>
      </c>
      <c r="E52" s="152"/>
      <c r="F52" s="152">
        <f>MAX(StrMod,DexMod)+LOOKUP(Size,Sizes,Races!P3:P11)+IF(Race="Dwarf",4,0)</f>
        <v>-5</v>
      </c>
      <c r="G52" s="152"/>
      <c r="I52" s="147" t="s">
        <v>829</v>
      </c>
      <c r="J52" s="147"/>
      <c r="K52" s="147"/>
      <c r="L52" s="152" t="str">
        <f>L49*0.8&amp;" miles"</f>
        <v>0 miles</v>
      </c>
      <c r="M52" s="152"/>
      <c r="T52" s="22"/>
      <c r="U52" s="22"/>
    </row>
    <row r="53" spans="1:29" ht="12.75">
      <c r="A53" s="157" t="s">
        <v>317</v>
      </c>
      <c r="B53" s="158"/>
      <c r="C53" s="158"/>
      <c r="D53" s="158"/>
      <c r="E53" s="158"/>
      <c r="F53" s="158"/>
      <c r="G53" s="159"/>
      <c r="I53" s="157" t="s">
        <v>2</v>
      </c>
      <c r="J53" s="158"/>
      <c r="K53" s="158"/>
      <c r="L53" s="158"/>
      <c r="M53" s="158"/>
      <c r="N53" s="159"/>
      <c r="P53" s="170" t="s">
        <v>313</v>
      </c>
      <c r="Q53" s="170"/>
      <c r="R53" s="170"/>
      <c r="S53" s="170"/>
      <c r="T53" s="140" t="s">
        <v>126</v>
      </c>
      <c r="U53" s="140"/>
      <c r="V53" s="3" t="s">
        <v>315</v>
      </c>
      <c r="W53" s="3" t="s">
        <v>314</v>
      </c>
      <c r="X53" s="3" t="s">
        <v>316</v>
      </c>
      <c r="Z53" s="201" t="s">
        <v>0</v>
      </c>
      <c r="AA53" s="202"/>
      <c r="AB53" s="202" t="s">
        <v>1</v>
      </c>
      <c r="AC53" s="203"/>
    </row>
    <row r="54" spans="1:29" ht="12.75">
      <c r="A54" s="148">
        <f>IF(ISBLANK(Race),"",LOOKUP(Race,Races,Races!B5:L5))</f>
      </c>
      <c r="B54" s="149"/>
      <c r="C54" s="149"/>
      <c r="D54" s="149"/>
      <c r="E54" s="149"/>
      <c r="F54" s="149"/>
      <c r="G54" s="150"/>
      <c r="I54" s="148">
        <f>IF(LEN(Scratch!G2)&gt;0,Scratch!G2,"")</f>
      </c>
      <c r="J54" s="149"/>
      <c r="K54" s="149"/>
      <c r="L54" s="149"/>
      <c r="M54" s="149"/>
      <c r="N54" s="150"/>
      <c r="P54" s="151" t="s">
        <v>130</v>
      </c>
      <c r="Q54" s="151"/>
      <c r="R54" s="151"/>
      <c r="S54" s="151"/>
      <c r="T54" s="152">
        <f>SUM(V54:X54)</f>
        <v>-5</v>
      </c>
      <c r="U54" s="152"/>
      <c r="V54" s="39">
        <f>IntMod</f>
        <v>-5</v>
      </c>
      <c r="W54" s="39">
        <f>TRUNC(Skills!G$27)</f>
        <v>0</v>
      </c>
      <c r="X54" s="39">
        <f>3*COUNTIF(Feats!D164:D175,P54)+IF(Feats!H74&gt;0,2,0)+IF(OR(Status="shaken",Status="sickened"),-2,0)</f>
        <v>0</v>
      </c>
      <c r="Z54" s="185"/>
      <c r="AA54" s="186"/>
      <c r="AB54" s="186"/>
      <c r="AC54" s="189"/>
    </row>
    <row r="55" spans="1:29" ht="12.75">
      <c r="A55" s="148">
        <f>IF(ISBLANK(Race),"",LOOKUP(Race,Races,Races!B6:L6))</f>
      </c>
      <c r="B55" s="149"/>
      <c r="C55" s="149"/>
      <c r="D55" s="149"/>
      <c r="E55" s="149"/>
      <c r="F55" s="149"/>
      <c r="G55" s="150"/>
      <c r="I55" s="148">
        <f>IF(LEN(Scratch!G3)&gt;0,Scratch!G3,"")</f>
      </c>
      <c r="J55" s="149"/>
      <c r="K55" s="149"/>
      <c r="L55" s="149"/>
      <c r="M55" s="149"/>
      <c r="N55" s="150"/>
      <c r="P55" s="151" t="s">
        <v>131</v>
      </c>
      <c r="Q55" s="151"/>
      <c r="R55" s="151"/>
      <c r="S55" s="151"/>
      <c r="T55" s="152">
        <f aca="true" t="shared" si="1" ref="T55:T104">SUM(V55:X55)</f>
        <v>-5</v>
      </c>
      <c r="U55" s="152"/>
      <c r="V55" s="39">
        <f>DexMod</f>
        <v>-5</v>
      </c>
      <c r="W55" s="39">
        <f>TRUNC(Skills!H$27)</f>
        <v>0</v>
      </c>
      <c r="X55" s="39">
        <f>3*COUNTIF(Feats!D164:D175,P55)+IF(Feats!H50&gt;0,2,0)+IF(W101&gt;=5,2,0)+IF(OR(Status="shaken",Status="sickened"),-2,0)+V15</f>
        <v>0</v>
      </c>
      <c r="Z55" s="185" t="s">
        <v>2</v>
      </c>
      <c r="AA55" s="186"/>
      <c r="AB55" s="186" t="s">
        <v>3</v>
      </c>
      <c r="AC55" s="189"/>
    </row>
    <row r="56" spans="1:29" ht="12.75">
      <c r="A56" s="148">
        <f>IF(ISBLANK(Race),"",LOOKUP(Race,Races,Races!B7:L7))</f>
      </c>
      <c r="B56" s="149"/>
      <c r="C56" s="149"/>
      <c r="D56" s="149"/>
      <c r="E56" s="149"/>
      <c r="F56" s="149"/>
      <c r="G56" s="150"/>
      <c r="I56" s="148">
        <f>IF(LEN(Scratch!G4)&gt;0,Scratch!G4,"")</f>
      </c>
      <c r="J56" s="149"/>
      <c r="K56" s="149"/>
      <c r="L56" s="149"/>
      <c r="M56" s="149"/>
      <c r="N56" s="150"/>
      <c r="P56" s="151" t="s">
        <v>132</v>
      </c>
      <c r="Q56" s="151"/>
      <c r="R56" s="151"/>
      <c r="S56" s="151"/>
      <c r="T56" s="152">
        <f t="shared" si="1"/>
        <v>-5</v>
      </c>
      <c r="U56" s="152"/>
      <c r="V56" s="39">
        <f>ChaMod</f>
        <v>-5</v>
      </c>
      <c r="W56" s="39">
        <f>TRUNC(Skills!I$27)</f>
        <v>0</v>
      </c>
      <c r="X56" s="39">
        <f>3*COUNTIF(Feats!D164:D175,P56)+IF(Feats!H123&gt;0,2,0)+IF(OR(Status="shaken",Status="sickened"),-2,0)</f>
        <v>0</v>
      </c>
      <c r="Z56" s="187"/>
      <c r="AA56" s="188"/>
      <c r="AB56" s="188"/>
      <c r="AC56" s="190"/>
    </row>
    <row r="57" spans="1:29" ht="12.75">
      <c r="A57" s="148">
        <f>IF(ISBLANK(Race),"",LOOKUP(Race,Races,Races!B8:L8))</f>
      </c>
      <c r="B57" s="149"/>
      <c r="C57" s="149"/>
      <c r="D57" s="149"/>
      <c r="E57" s="149"/>
      <c r="F57" s="149"/>
      <c r="G57" s="150"/>
      <c r="I57" s="148">
        <f>IF(LEN(Scratch!G5)&gt;0,Scratch!G5,"")</f>
      </c>
      <c r="J57" s="149"/>
      <c r="K57" s="149"/>
      <c r="L57" s="149"/>
      <c r="M57" s="149"/>
      <c r="N57" s="150"/>
      <c r="P57" s="151" t="s">
        <v>133</v>
      </c>
      <c r="Q57" s="151"/>
      <c r="R57" s="151"/>
      <c r="S57" s="151"/>
      <c r="T57" s="152">
        <f t="shared" si="1"/>
        <v>-5</v>
      </c>
      <c r="U57" s="152"/>
      <c r="V57" s="39">
        <f>StrMod</f>
        <v>-5</v>
      </c>
      <c r="W57" s="39">
        <f>TRUNC(Skills!J$27)</f>
        <v>0</v>
      </c>
      <c r="X57" s="39">
        <f>3*COUNTIF(Feats!D164:D175,P57)+IF(Race="Halfling",2,0)+IF(Feats!H56&gt;0,2,0)+IF(Gear!N34&gt;0,2,0)+IF(OR(Status="shaken",Status="sickened"),-2,0)+V15</f>
        <v>0</v>
      </c>
      <c r="Z57" s="179" t="s">
        <v>792</v>
      </c>
      <c r="AA57" s="180"/>
      <c r="AB57" s="180"/>
      <c r="AC57" s="181"/>
    </row>
    <row r="58" spans="1:29" ht="12.75">
      <c r="A58" s="148">
        <f>IF(ISBLANK(Race),"",LOOKUP(Race,Races,Races!B9:L9))</f>
      </c>
      <c r="B58" s="149"/>
      <c r="C58" s="149"/>
      <c r="D58" s="149"/>
      <c r="E58" s="149"/>
      <c r="F58" s="149"/>
      <c r="G58" s="150"/>
      <c r="I58" s="148">
        <f>IF(LEN(Scratch!G6)&gt;0,Scratch!G6,"")</f>
      </c>
      <c r="J58" s="149"/>
      <c r="K58" s="149"/>
      <c r="L58" s="149"/>
      <c r="M58" s="149"/>
      <c r="N58" s="150"/>
      <c r="P58" s="151" t="s">
        <v>174</v>
      </c>
      <c r="Q58" s="151"/>
      <c r="R58" s="151"/>
      <c r="S58" s="151"/>
      <c r="T58" s="152">
        <f t="shared" si="1"/>
        <v>-5</v>
      </c>
      <c r="U58" s="152"/>
      <c r="V58" s="39">
        <f>ConMod</f>
        <v>-5</v>
      </c>
      <c r="W58" s="39">
        <f>TRUNC(Skills!K$27)</f>
        <v>0</v>
      </c>
      <c r="X58" s="39">
        <f>3*COUNTIF(Feats!D164:D175,P58)+IF(OR(Status="shaken",Status="sickened"),-2,0)</f>
        <v>0</v>
      </c>
      <c r="Z58" s="198" t="s">
        <v>793</v>
      </c>
      <c r="AA58" s="199"/>
      <c r="AB58" s="199"/>
      <c r="AC58" s="200"/>
    </row>
    <row r="59" spans="1:29" ht="12.75">
      <c r="A59" s="148">
        <f>IF(ISBLANK(Race),"",LOOKUP(Race,Races,Races!B10:L10))</f>
      </c>
      <c r="B59" s="149"/>
      <c r="C59" s="149"/>
      <c r="D59" s="149"/>
      <c r="E59" s="149"/>
      <c r="F59" s="149"/>
      <c r="G59" s="150"/>
      <c r="I59" s="148">
        <f>IF(LEN(Scratch!G7)&gt;0,Scratch!G7,"")</f>
      </c>
      <c r="J59" s="149"/>
      <c r="K59" s="149"/>
      <c r="L59" s="149"/>
      <c r="M59" s="149"/>
      <c r="N59" s="150"/>
      <c r="P59" s="151" t="str">
        <f>"Craft ("&amp;Skills!L5&amp;")"</f>
        <v>Craft ()</v>
      </c>
      <c r="Q59" s="151"/>
      <c r="R59" s="151"/>
      <c r="S59" s="151"/>
      <c r="T59" s="152">
        <f t="shared" si="1"/>
        <v>-5</v>
      </c>
      <c r="U59" s="152"/>
      <c r="V59" s="39">
        <f>IntMod</f>
        <v>-5</v>
      </c>
      <c r="W59" s="39">
        <f>TRUNC(Skills!L$27)</f>
        <v>0</v>
      </c>
      <c r="X59" s="39">
        <f>3*COUNTIF(Feats!D164:D175,P59)+IF(AND(P59="Craft (alchemy)",Race="Gnome"),2,0)+IF(OR(Status="shaken",Status="sickened"),-2,0)</f>
        <v>0</v>
      </c>
      <c r="Z59" s="182" t="s">
        <v>794</v>
      </c>
      <c r="AA59" s="183"/>
      <c r="AB59" s="183"/>
      <c r="AC59" s="184"/>
    </row>
    <row r="60" spans="1:29" ht="12.75">
      <c r="A60" s="148">
        <f>IF(ISBLANK(Race),"",LOOKUP(Race,Races,Races!B11:L11))</f>
      </c>
      <c r="B60" s="149"/>
      <c r="C60" s="149"/>
      <c r="D60" s="149"/>
      <c r="E60" s="149"/>
      <c r="F60" s="149"/>
      <c r="G60" s="150"/>
      <c r="I60" s="148">
        <f>IF(LEN(Scratch!G8)&gt;0,Scratch!G8,"")</f>
      </c>
      <c r="J60" s="149"/>
      <c r="K60" s="149"/>
      <c r="L60" s="149"/>
      <c r="M60" s="149"/>
      <c r="N60" s="150"/>
      <c r="P60" s="151" t="str">
        <f>"Craft ("&amp;Skills!M5&amp;")"</f>
        <v>Craft ()</v>
      </c>
      <c r="Q60" s="151"/>
      <c r="R60" s="151"/>
      <c r="S60" s="151"/>
      <c r="T60" s="152">
        <f t="shared" si="1"/>
        <v>-5</v>
      </c>
      <c r="U60" s="152"/>
      <c r="V60" s="39">
        <f>IntMod</f>
        <v>-5</v>
      </c>
      <c r="W60" s="39">
        <f>TRUNC(Skills!M$27)</f>
        <v>0</v>
      </c>
      <c r="X60" s="39">
        <f>3*COUNTIF(Feats!D164:D175,P60)+IF(AND(P60="Craft (alchemy)",Race="Gnome"),2,0)+IF(OR(Status="shaken",Status="sickened"),-2,0)</f>
        <v>0</v>
      </c>
      <c r="Z60" s="224" t="s">
        <v>795</v>
      </c>
      <c r="AA60" s="225"/>
      <c r="AB60" s="225"/>
      <c r="AC60" s="226"/>
    </row>
    <row r="61" spans="1:24" ht="12.75">
      <c r="A61" s="148">
        <f>IF(ISBLANK(Race),"",LOOKUP(Race,Races,Races!B12:L12))</f>
      </c>
      <c r="B61" s="149"/>
      <c r="C61" s="149"/>
      <c r="D61" s="149"/>
      <c r="E61" s="149"/>
      <c r="F61" s="149"/>
      <c r="G61" s="150"/>
      <c r="I61" s="148">
        <f>IF(LEN(Scratch!G9)&gt;0,Scratch!G9,"")</f>
      </c>
      <c r="J61" s="149"/>
      <c r="K61" s="149"/>
      <c r="L61" s="149"/>
      <c r="M61" s="149"/>
      <c r="N61" s="150"/>
      <c r="P61" s="151" t="str">
        <f>"Craft ("&amp;Skills!N5&amp;")"</f>
        <v>Craft ()</v>
      </c>
      <c r="Q61" s="151"/>
      <c r="R61" s="151"/>
      <c r="S61" s="151"/>
      <c r="T61" s="152">
        <f t="shared" si="1"/>
        <v>-5</v>
      </c>
      <c r="U61" s="152"/>
      <c r="V61" s="39">
        <f>IntMod</f>
        <v>-5</v>
      </c>
      <c r="W61" s="39">
        <f>TRUNC(Skills!N$27)</f>
        <v>0</v>
      </c>
      <c r="X61" s="39">
        <f>3*COUNTIF(Feats!D164:D175,P61)+IF(AND(P61="Craft (alchemy)",Race="Gnome"),2,0)+IF(OR(Status="shaken",Status="sickened"),-2,0)</f>
        <v>0</v>
      </c>
    </row>
    <row r="62" spans="1:24" ht="12.75">
      <c r="A62" s="154">
        <f>IF(ISBLANK(Race),"",LOOKUP(Race,Races,Races!B13:L13))</f>
      </c>
      <c r="B62" s="155"/>
      <c r="C62" s="155"/>
      <c r="D62" s="155"/>
      <c r="E62" s="155"/>
      <c r="F62" s="155"/>
      <c r="G62" s="156"/>
      <c r="I62" s="148">
        <f>IF(LEN(Scratch!G10)&gt;0,Scratch!G10,"")</f>
      </c>
      <c r="J62" s="149"/>
      <c r="K62" s="149"/>
      <c r="L62" s="149"/>
      <c r="M62" s="149"/>
      <c r="N62" s="150"/>
      <c r="P62" s="151" t="s">
        <v>175</v>
      </c>
      <c r="Q62" s="151"/>
      <c r="R62" s="151"/>
      <c r="S62" s="151"/>
      <c r="T62" s="152" t="str">
        <f>IF(W62&gt;0,SUM(V62:X62),"X")</f>
        <v>X</v>
      </c>
      <c r="U62" s="152"/>
      <c r="V62" s="39">
        <f>IntMod</f>
        <v>-5</v>
      </c>
      <c r="W62" s="39">
        <f>TRUNC(Skills!O$27)</f>
        <v>0</v>
      </c>
      <c r="X62" s="39">
        <f>3*COUNTIF(Feats!D164:D175,P62)+IF(Feats!H74&gt;0,2,0)+IF(OR(Status="shaken",Status="sickened"),-2,0)</f>
        <v>0</v>
      </c>
    </row>
    <row r="63" spans="9:24" ht="12.75">
      <c r="I63" s="148">
        <f>IF(LEN(Scratch!G11)&gt;0,Scratch!G11,"")</f>
      </c>
      <c r="J63" s="149"/>
      <c r="K63" s="149"/>
      <c r="L63" s="149"/>
      <c r="M63" s="149"/>
      <c r="N63" s="150"/>
      <c r="P63" s="151" t="s">
        <v>176</v>
      </c>
      <c r="Q63" s="151"/>
      <c r="R63" s="151"/>
      <c r="S63" s="151"/>
      <c r="T63" s="152">
        <f t="shared" si="1"/>
        <v>-5</v>
      </c>
      <c r="U63" s="152"/>
      <c r="V63" s="39">
        <f>ChaMod</f>
        <v>-5</v>
      </c>
      <c r="W63" s="39">
        <f>TRUNC(Skills!P$27)</f>
        <v>0</v>
      </c>
      <c r="X63" s="39">
        <f>3*COUNTIF(Feats!D164:D175,P63)+IF(Race="Half-elf",2,0)+IF(Feats!H120&gt;0,2,0)+IF(W56&gt;=5,2,0)+IF(W81&gt;=5,2,0)+IF(W95&gt;=5,2,0)+IF(OR(Status="shaken",Status="sickened"),-2,0)</f>
        <v>0</v>
      </c>
    </row>
    <row r="64" spans="1:24" ht="12.75">
      <c r="A64" s="157" t="s">
        <v>318</v>
      </c>
      <c r="B64" s="158"/>
      <c r="C64" s="158"/>
      <c r="D64" s="158"/>
      <c r="E64" s="158"/>
      <c r="F64" s="158"/>
      <c r="G64" s="159"/>
      <c r="I64" s="148">
        <f>IF(LEN(Scratch!G12)&gt;0,Scratch!G12,"")</f>
      </c>
      <c r="J64" s="149"/>
      <c r="K64" s="149"/>
      <c r="L64" s="149"/>
      <c r="M64" s="149"/>
      <c r="N64" s="150"/>
      <c r="P64" s="151" t="s">
        <v>177</v>
      </c>
      <c r="Q64" s="151"/>
      <c r="R64" s="151"/>
      <c r="S64" s="151"/>
      <c r="T64" s="152" t="str">
        <f>IF(W64&gt;0,SUM(V64:X64),"X")</f>
        <v>X</v>
      </c>
      <c r="U64" s="152"/>
      <c r="V64" s="39">
        <f>IntMod</f>
        <v>-5</v>
      </c>
      <c r="W64" s="39">
        <f>TRUNC(Skills!Q$27)</f>
        <v>0</v>
      </c>
      <c r="X64" s="39">
        <f>3*COUNTIF(Feats!D164:D175,P64)+IF(Feats!H121&gt;0,2,0)+IF(SUM(Gear!N105:N106)=0,-2,IF(Gear!N105&gt;0,2,0))+IF(OR(Status="shaken",Status="sickened"),-2,0)</f>
        <v>-2</v>
      </c>
    </row>
    <row r="65" spans="1:24" ht="12.75">
      <c r="A65" s="148">
        <f>IF(ISNA(Scratch!C2),"",Scratch!C2)</f>
      </c>
      <c r="B65" s="149"/>
      <c r="C65" s="149"/>
      <c r="D65" s="149"/>
      <c r="E65" s="149"/>
      <c r="F65" s="149"/>
      <c r="G65" s="150"/>
      <c r="I65" s="148">
        <f>IF(LEN(Scratch!G13)&gt;0,Scratch!G13,"")</f>
      </c>
      <c r="J65" s="149"/>
      <c r="K65" s="149"/>
      <c r="L65" s="149"/>
      <c r="M65" s="149"/>
      <c r="N65" s="150"/>
      <c r="P65" s="151" t="s">
        <v>139</v>
      </c>
      <c r="Q65" s="151"/>
      <c r="R65" s="151"/>
      <c r="S65" s="151"/>
      <c r="T65" s="152">
        <f t="shared" si="1"/>
        <v>-5</v>
      </c>
      <c r="U65" s="152"/>
      <c r="V65" s="39">
        <f>ChaMod</f>
        <v>-5</v>
      </c>
      <c r="W65" s="39">
        <f>TRUNC(Skills!R$27)</f>
        <v>0</v>
      </c>
      <c r="X65" s="39">
        <f>3*COUNTIF(Feats!D164:D175,P65)+IF(Feats!H70&gt;0,2,0)+IF(Gear!N39&gt;0,2,0)+IF(OR(Status="shaken",Status="sickened"),-2,0)</f>
        <v>0</v>
      </c>
    </row>
    <row r="66" spans="1:24" ht="12.75">
      <c r="A66" s="148">
        <f>IF(ISNA(Scratch!C3),"",Scratch!C3)</f>
      </c>
      <c r="B66" s="149"/>
      <c r="C66" s="149"/>
      <c r="D66" s="149"/>
      <c r="E66" s="149"/>
      <c r="F66" s="149"/>
      <c r="G66" s="150"/>
      <c r="I66" s="148">
        <f>IF(LEN(Scratch!G14)&gt;0,Scratch!G14,"")</f>
      </c>
      <c r="J66" s="149"/>
      <c r="K66" s="149"/>
      <c r="L66" s="149"/>
      <c r="M66" s="149"/>
      <c r="N66" s="150"/>
      <c r="P66" s="151" t="s">
        <v>178</v>
      </c>
      <c r="Q66" s="151"/>
      <c r="R66" s="151"/>
      <c r="S66" s="151"/>
      <c r="T66" s="152">
        <f t="shared" si="1"/>
        <v>-5</v>
      </c>
      <c r="U66" s="152"/>
      <c r="V66" s="39">
        <f>DexMod</f>
        <v>-5</v>
      </c>
      <c r="W66" s="39">
        <f>TRUNC(Skills!S$27)</f>
        <v>0</v>
      </c>
      <c r="X66" s="39">
        <f>3*COUNTIF(Feats!D164:D175,P66)+IF(Feats!H50&gt;0,2,0)+IF(OR(Status="shaken",Status="sickened"),-2,0)+V15</f>
        <v>0</v>
      </c>
    </row>
    <row r="67" spans="1:24" ht="12.75">
      <c r="A67" s="148">
        <f>IF(ISNA(Scratch!C4),"",Scratch!C4)</f>
      </c>
      <c r="B67" s="149"/>
      <c r="C67" s="149"/>
      <c r="D67" s="149"/>
      <c r="E67" s="149"/>
      <c r="F67" s="149"/>
      <c r="G67" s="150"/>
      <c r="I67" s="148">
        <f>IF(LEN(Scratch!G15)&gt;0,Scratch!G15,"")</f>
      </c>
      <c r="J67" s="149"/>
      <c r="K67" s="149"/>
      <c r="L67" s="149"/>
      <c r="M67" s="149"/>
      <c r="N67" s="150"/>
      <c r="P67" s="151" t="s">
        <v>141</v>
      </c>
      <c r="Q67" s="151"/>
      <c r="R67" s="151"/>
      <c r="S67" s="151"/>
      <c r="T67" s="152">
        <f t="shared" si="1"/>
        <v>-5</v>
      </c>
      <c r="U67" s="152"/>
      <c r="V67" s="39">
        <f>IntMod</f>
        <v>-5</v>
      </c>
      <c r="W67" s="39">
        <f>TRUNC(Skills!T$27)</f>
        <v>0</v>
      </c>
      <c r="X67" s="39">
        <f>3*COUNTIF(Feats!D164:D175,P67)+IF(Feats!H70&gt;0,2,0)+IF(OR(Status="shaken",Status="sickened"),-2,0)</f>
        <v>0</v>
      </c>
    </row>
    <row r="68" spans="1:24" ht="12.75">
      <c r="A68" s="148">
        <f>IF(ISNA(Scratch!C5),"",Scratch!C5)</f>
      </c>
      <c r="B68" s="149"/>
      <c r="C68" s="149"/>
      <c r="D68" s="149"/>
      <c r="E68" s="149"/>
      <c r="F68" s="149"/>
      <c r="G68" s="150"/>
      <c r="I68" s="148">
        <f>IF(LEN(Scratch!G16)&gt;0,Scratch!G16,"")</f>
      </c>
      <c r="J68" s="149"/>
      <c r="K68" s="149"/>
      <c r="L68" s="149"/>
      <c r="M68" s="149"/>
      <c r="N68" s="150"/>
      <c r="P68" s="151" t="s">
        <v>179</v>
      </c>
      <c r="Q68" s="151"/>
      <c r="R68" s="151"/>
      <c r="S68" s="151"/>
      <c r="T68" s="152">
        <f t="shared" si="1"/>
        <v>-5</v>
      </c>
      <c r="U68" s="152"/>
      <c r="V68" s="39">
        <f>ChaMod</f>
        <v>-5</v>
      </c>
      <c r="W68" s="39">
        <f>TRUNC(Skills!U$27)</f>
        <v>0</v>
      </c>
      <c r="X68" s="39">
        <f>3*COUNTIF(Feats!D164:D175,P68)+IF(Race="Half-elf",2,0)+IF(Feats!H108&gt;0,2,0)+IF(W79&gt;=5,2,0)+IF(OR(Status="shaken",Status="sickened"),-2,0)</f>
        <v>0</v>
      </c>
    </row>
    <row r="69" spans="1:24" ht="12.75">
      <c r="A69" s="148">
        <f>IF(ISNA(Scratch!C6),"",Scratch!C6)</f>
      </c>
      <c r="B69" s="149"/>
      <c r="C69" s="149"/>
      <c r="D69" s="149"/>
      <c r="E69" s="149"/>
      <c r="F69" s="149"/>
      <c r="G69" s="150"/>
      <c r="I69" s="148">
        <f>IF(LEN(Scratch!G17)&gt;0,Scratch!G17,"")</f>
      </c>
      <c r="J69" s="149"/>
      <c r="K69" s="149"/>
      <c r="L69" s="149"/>
      <c r="M69" s="149"/>
      <c r="N69" s="150"/>
      <c r="P69" s="151" t="s">
        <v>180</v>
      </c>
      <c r="Q69" s="151"/>
      <c r="R69" s="151"/>
      <c r="S69" s="151"/>
      <c r="T69" s="152" t="str">
        <f>IF(W69&gt;0,SUM(V69:X69),"X")</f>
        <v>X</v>
      </c>
      <c r="U69" s="152"/>
      <c r="V69" s="39">
        <f>ChaMod</f>
        <v>-5</v>
      </c>
      <c r="W69" s="39">
        <f>TRUNC(Skills!V$27)</f>
        <v>0</v>
      </c>
      <c r="X69" s="39">
        <f>3*COUNTIF(Feats!D164:D175,P69)+IF(Feats!H52&gt;0,2,0)+IF(OR(Status="shaken",Status="sickened"),-2,0)</f>
        <v>0</v>
      </c>
    </row>
    <row r="70" spans="1:24" ht="12.75">
      <c r="A70" s="148">
        <f>IF(ISNA(Scratch!C7),"",Scratch!C7)</f>
      </c>
      <c r="B70" s="149"/>
      <c r="C70" s="149"/>
      <c r="D70" s="149"/>
      <c r="E70" s="149"/>
      <c r="F70" s="149"/>
      <c r="G70" s="150"/>
      <c r="I70" s="148">
        <f>IF(LEN(Scratch!G18)&gt;0,Scratch!G18,"")</f>
      </c>
      <c r="J70" s="149"/>
      <c r="K70" s="149"/>
      <c r="L70" s="149"/>
      <c r="M70" s="149"/>
      <c r="N70" s="150"/>
      <c r="P70" s="151" t="s">
        <v>144</v>
      </c>
      <c r="Q70" s="151"/>
      <c r="R70" s="151"/>
      <c r="S70" s="151"/>
      <c r="T70" s="152">
        <f t="shared" si="1"/>
        <v>-5</v>
      </c>
      <c r="U70" s="152"/>
      <c r="V70" s="39">
        <f>WisMod</f>
        <v>-5</v>
      </c>
      <c r="W70" s="39">
        <f>TRUNC(Skills!W$27)</f>
        <v>0</v>
      </c>
      <c r="X70" s="39">
        <f>3*COUNTIF(Feats!D164:D175,P70)+IF(Feats!H134&gt;0,2,0)+IF(Gear!N53&gt;0,2,0)+IF(OR(Status="shaken",Status="sickened"),-2,0)</f>
        <v>0</v>
      </c>
    </row>
    <row r="71" spans="1:24" ht="12.75">
      <c r="A71" s="148">
        <f>IF(ISNA(Scratch!C8),"",Scratch!C8)</f>
      </c>
      <c r="B71" s="149"/>
      <c r="C71" s="149"/>
      <c r="D71" s="149"/>
      <c r="E71" s="149"/>
      <c r="F71" s="149"/>
      <c r="G71" s="150"/>
      <c r="I71" s="148">
        <f>IF(LEN(Scratch!G19)&gt;0,Scratch!G19,"")</f>
      </c>
      <c r="J71" s="149"/>
      <c r="K71" s="149"/>
      <c r="L71" s="149"/>
      <c r="M71" s="149"/>
      <c r="N71" s="150"/>
      <c r="P71" s="151" t="s">
        <v>145</v>
      </c>
      <c r="Q71" s="151"/>
      <c r="R71" s="151"/>
      <c r="S71" s="151"/>
      <c r="T71" s="152">
        <f t="shared" si="1"/>
        <v>-5</v>
      </c>
      <c r="U71" s="152"/>
      <c r="V71" s="39">
        <f>DexMod</f>
        <v>-5</v>
      </c>
      <c r="W71" s="39">
        <f>TRUNC(Skills!X$27)</f>
        <v>0</v>
      </c>
      <c r="X71" s="39">
        <f>3*COUNTIF(Feats!D164:D175,P71)-LOOKUP(Size,Sizes,Races!P3:P11)+IF(Feats!H146&gt;0,2,0)+IF(OR(Status="shaken",Status="sickened"),-2,0)+V15</f>
        <v>0</v>
      </c>
    </row>
    <row r="72" spans="1:24" ht="12.75">
      <c r="A72" s="148">
        <f>IF(ISNA(Scratch!C9),"",Scratch!C9)</f>
      </c>
      <c r="B72" s="149"/>
      <c r="C72" s="149"/>
      <c r="D72" s="149"/>
      <c r="E72" s="149"/>
      <c r="F72" s="149"/>
      <c r="G72" s="150"/>
      <c r="I72" s="148">
        <f>IF(LEN(Scratch!G20)&gt;0,Scratch!G20,"")</f>
      </c>
      <c r="J72" s="149"/>
      <c r="K72" s="149"/>
      <c r="L72" s="149"/>
      <c r="M72" s="149"/>
      <c r="N72" s="150"/>
      <c r="P72" s="151" t="s">
        <v>181</v>
      </c>
      <c r="Q72" s="151"/>
      <c r="R72" s="151"/>
      <c r="S72" s="151"/>
      <c r="T72" s="152">
        <f t="shared" si="1"/>
        <v>-5</v>
      </c>
      <c r="U72" s="152"/>
      <c r="V72" s="39">
        <f>ChaMod</f>
        <v>-5</v>
      </c>
      <c r="W72" s="39">
        <f>TRUNC(Skills!Y$27)</f>
        <v>0</v>
      </c>
      <c r="X72" s="39">
        <f>3*COUNTIF(Feats!D164:D175,P72)+IF(Feats!H123&gt;0,2,0)+IF(W56&gt;=5,2,0)+IF(OR(Status="shaken",Status="sickened"),-2,0)</f>
        <v>0</v>
      </c>
    </row>
    <row r="73" spans="1:24" ht="12.75">
      <c r="A73" s="148">
        <f>IF(ISNA(Scratch!C10),"",Scratch!C10)</f>
      </c>
      <c r="B73" s="149"/>
      <c r="C73" s="149"/>
      <c r="D73" s="149"/>
      <c r="E73" s="149"/>
      <c r="F73" s="149"/>
      <c r="G73" s="150"/>
      <c r="I73" s="148">
        <f>IF(LEN(Scratch!G21)&gt;0,Scratch!G21,"")</f>
      </c>
      <c r="J73" s="149"/>
      <c r="K73" s="149"/>
      <c r="L73" s="149"/>
      <c r="M73" s="149"/>
      <c r="N73" s="150"/>
      <c r="P73" s="151" t="s">
        <v>147</v>
      </c>
      <c r="Q73" s="151"/>
      <c r="R73" s="151"/>
      <c r="S73" s="151"/>
      <c r="T73" s="152">
        <f t="shared" si="1"/>
        <v>-5</v>
      </c>
      <c r="U73" s="152"/>
      <c r="V73" s="39">
        <f>StrMod</f>
        <v>-5</v>
      </c>
      <c r="W73" s="39">
        <f>TRUNC(Skills!Z$27)</f>
        <v>0</v>
      </c>
      <c r="X73" s="39">
        <f>3*COUNTIF(Feats!D164:D175,P73)+IF(Race="Halfling",2,0)+IF(Feats!H49&gt;0,2,0)+IF(W101&gt;=5,2,0)+IF(OR(Status="shaken",Status="sickened"),-2,0)+V15</f>
        <v>0</v>
      </c>
    </row>
    <row r="74" spans="1:37" ht="12.75">
      <c r="A74" s="148">
        <f>IF(ISNA(Scratch!C11),"",Scratch!C11)</f>
      </c>
      <c r="B74" s="149"/>
      <c r="C74" s="149"/>
      <c r="D74" s="149"/>
      <c r="E74" s="149"/>
      <c r="F74" s="149"/>
      <c r="G74" s="150"/>
      <c r="I74" s="148">
        <f>IF(LEN(Scratch!G22)&gt;0,Scratch!G22,"")</f>
      </c>
      <c r="J74" s="149"/>
      <c r="K74" s="149"/>
      <c r="L74" s="149"/>
      <c r="M74" s="149"/>
      <c r="N74" s="150"/>
      <c r="P74" s="151" t="s">
        <v>854</v>
      </c>
      <c r="Q74" s="151"/>
      <c r="R74" s="151"/>
      <c r="S74" s="151"/>
      <c r="T74" s="152" t="str">
        <f aca="true" t="shared" si="2" ref="T74:T84">IF(W74&gt;0,SUM(V74:X74),"X")</f>
        <v>X</v>
      </c>
      <c r="U74" s="152"/>
      <c r="V74" s="39">
        <f>IntMod</f>
        <v>-5</v>
      </c>
      <c r="W74" s="39">
        <f>TRUNC(Skills!AA$27)</f>
        <v>0</v>
      </c>
      <c r="X74" s="39">
        <f>3*COUNTIF(Feats!D164:D175,P74)+IF(OR(Status="shaken",Status="sickened"),-2,0)</f>
        <v>0</v>
      </c>
      <c r="AA74" s="18"/>
      <c r="AB74" s="18"/>
      <c r="AC74" s="18"/>
      <c r="AD74" s="18"/>
      <c r="AE74" s="18"/>
      <c r="AF74" s="18"/>
      <c r="AG74" s="18"/>
      <c r="AH74" s="18"/>
      <c r="AI74" s="18"/>
      <c r="AJ74" s="18"/>
      <c r="AK74" s="18"/>
    </row>
    <row r="75" spans="1:24" ht="12.75">
      <c r="A75" s="148">
        <f>IF(ISNA(Scratch!C12),"",Scratch!C12)</f>
      </c>
      <c r="B75" s="149"/>
      <c r="C75" s="149"/>
      <c r="D75" s="149"/>
      <c r="E75" s="149"/>
      <c r="F75" s="149"/>
      <c r="G75" s="150"/>
      <c r="I75" s="148">
        <f>IF(LEN(Scratch!G23)&gt;0,Scratch!G23,"")</f>
      </c>
      <c r="J75" s="149"/>
      <c r="K75" s="149"/>
      <c r="L75" s="149"/>
      <c r="M75" s="149"/>
      <c r="N75" s="150"/>
      <c r="P75" s="151" t="s">
        <v>856</v>
      </c>
      <c r="Q75" s="151"/>
      <c r="R75" s="151"/>
      <c r="S75" s="151"/>
      <c r="T75" s="152" t="str">
        <f t="shared" si="2"/>
        <v>X</v>
      </c>
      <c r="U75" s="152"/>
      <c r="V75" s="39">
        <f aca="true" t="shared" si="3" ref="V75:V84">IntMod</f>
        <v>-5</v>
      </c>
      <c r="W75" s="39">
        <f>TRUNC(Skills!AB$27)</f>
        <v>0</v>
      </c>
      <c r="X75" s="39">
        <f>3*COUNTIF(Feats!D164:D175,P75)+IF(OR(Status="shaken",Status="sickened"),-2,0)</f>
        <v>0</v>
      </c>
    </row>
    <row r="76" spans="1:24" ht="12.75">
      <c r="A76" s="148">
        <f>IF(ISNA(Scratch!C13),"",Scratch!C13)</f>
      </c>
      <c r="B76" s="149"/>
      <c r="C76" s="149"/>
      <c r="D76" s="149"/>
      <c r="E76" s="149"/>
      <c r="F76" s="149"/>
      <c r="G76" s="150"/>
      <c r="I76" s="148">
        <f>IF(LEN(Scratch!G24)&gt;0,Scratch!G24,"")</f>
      </c>
      <c r="J76" s="149"/>
      <c r="K76" s="149"/>
      <c r="L76" s="149"/>
      <c r="M76" s="149"/>
      <c r="N76" s="150"/>
      <c r="P76" s="151" t="s">
        <v>855</v>
      </c>
      <c r="Q76" s="151"/>
      <c r="R76" s="151"/>
      <c r="S76" s="151"/>
      <c r="T76" s="152" t="str">
        <f t="shared" si="2"/>
        <v>X</v>
      </c>
      <c r="U76" s="152"/>
      <c r="V76" s="39">
        <f t="shared" si="3"/>
        <v>-5</v>
      </c>
      <c r="W76" s="39">
        <f>TRUNC(Skills!AC$27)</f>
        <v>0</v>
      </c>
      <c r="X76" s="39">
        <f>3*COUNTIF(Feats!D164:D175,P76)+IF(OR(Status="shaken",Status="sickened"),-2,0)</f>
        <v>0</v>
      </c>
    </row>
    <row r="77" spans="1:27" ht="12.75">
      <c r="A77" s="148">
        <f>IF(ISNA(Scratch!C14),"",Scratch!C14)</f>
      </c>
      <c r="B77" s="149"/>
      <c r="C77" s="149"/>
      <c r="D77" s="149"/>
      <c r="E77" s="149"/>
      <c r="F77" s="149"/>
      <c r="G77" s="150"/>
      <c r="I77" s="148">
        <f>IF(LEN(Scratch!G25)&gt;0,Scratch!G25,"")</f>
      </c>
      <c r="J77" s="149"/>
      <c r="K77" s="149"/>
      <c r="L77" s="149"/>
      <c r="M77" s="149"/>
      <c r="N77" s="150"/>
      <c r="P77" s="151" t="s">
        <v>857</v>
      </c>
      <c r="Q77" s="151"/>
      <c r="R77" s="151"/>
      <c r="S77" s="151"/>
      <c r="T77" s="152" t="str">
        <f t="shared" si="2"/>
        <v>X</v>
      </c>
      <c r="U77" s="152"/>
      <c r="V77" s="39">
        <f t="shared" si="3"/>
        <v>-5</v>
      </c>
      <c r="W77" s="39">
        <f>TRUNC(Skills!AD$27)</f>
        <v>0</v>
      </c>
      <c r="X77" s="39">
        <f>3*COUNTIF(Feats!D164:D175,P77)+IF(OR(Status="shaken",Status="sickened"),-2,0)</f>
        <v>0</v>
      </c>
      <c r="AA77" s="18"/>
    </row>
    <row r="78" spans="1:27" ht="12.75">
      <c r="A78" s="148">
        <f>IF(ISNA(Scratch!C15),"",Scratch!C15)</f>
      </c>
      <c r="B78" s="149"/>
      <c r="C78" s="149"/>
      <c r="D78" s="149"/>
      <c r="E78" s="149"/>
      <c r="F78" s="149"/>
      <c r="G78" s="150"/>
      <c r="I78" s="148">
        <f>IF(LEN(Scratch!G26)&gt;0,Scratch!G26,"")</f>
      </c>
      <c r="J78" s="149"/>
      <c r="K78" s="149"/>
      <c r="L78" s="149"/>
      <c r="M78" s="149"/>
      <c r="N78" s="150"/>
      <c r="P78" s="151" t="s">
        <v>858</v>
      </c>
      <c r="Q78" s="151"/>
      <c r="R78" s="151"/>
      <c r="S78" s="151"/>
      <c r="T78" s="152" t="str">
        <f t="shared" si="2"/>
        <v>X</v>
      </c>
      <c r="U78" s="152"/>
      <c r="V78" s="39">
        <f t="shared" si="3"/>
        <v>-5</v>
      </c>
      <c r="W78" s="39">
        <f>TRUNC(Skills!AE$27)</f>
        <v>0</v>
      </c>
      <c r="X78" s="39">
        <f>3*COUNTIF(Feats!D164:D175,P78)+IF(OR(Status="shaken",Status="sickened"),-2,0)</f>
        <v>0</v>
      </c>
      <c r="AA78" s="18"/>
    </row>
    <row r="79" spans="1:27" ht="12.75">
      <c r="A79" s="148">
        <f>IF(ISNA(Scratch!C16),"",Scratch!C16)</f>
      </c>
      <c r="B79" s="149"/>
      <c r="C79" s="149"/>
      <c r="D79" s="149"/>
      <c r="E79" s="149"/>
      <c r="F79" s="149"/>
      <c r="G79" s="150"/>
      <c r="I79" s="154">
        <f>IF(LEN(Scratch!G27)&gt;0,Scratch!G27,"")</f>
      </c>
      <c r="J79" s="155"/>
      <c r="K79" s="155"/>
      <c r="L79" s="155"/>
      <c r="M79" s="155"/>
      <c r="N79" s="156"/>
      <c r="P79" s="151" t="s">
        <v>859</v>
      </c>
      <c r="Q79" s="151"/>
      <c r="R79" s="151"/>
      <c r="S79" s="151"/>
      <c r="T79" s="152" t="str">
        <f t="shared" si="2"/>
        <v>X</v>
      </c>
      <c r="U79" s="152"/>
      <c r="V79" s="39">
        <f t="shared" si="3"/>
        <v>-5</v>
      </c>
      <c r="W79" s="39">
        <f>TRUNC(Skills!AF$27)</f>
        <v>0</v>
      </c>
      <c r="X79" s="39">
        <f>3*COUNTIF(Feats!D164:D175,P79)+IF(OR(Status="shaken",Status="sickened"),-2,0)</f>
        <v>0</v>
      </c>
      <c r="AA79" s="18"/>
    </row>
    <row r="80" spans="1:27" ht="12.75">
      <c r="A80" s="148">
        <f>IF(ISNA(Scratch!C17),"",Scratch!C17)</f>
      </c>
      <c r="B80" s="149"/>
      <c r="C80" s="149"/>
      <c r="D80" s="149"/>
      <c r="E80" s="149"/>
      <c r="F80" s="149"/>
      <c r="G80" s="150"/>
      <c r="P80" s="151" t="s">
        <v>860</v>
      </c>
      <c r="Q80" s="151"/>
      <c r="R80" s="151"/>
      <c r="S80" s="151"/>
      <c r="T80" s="152" t="str">
        <f t="shared" si="2"/>
        <v>X</v>
      </c>
      <c r="U80" s="152"/>
      <c r="V80" s="39">
        <f t="shared" si="3"/>
        <v>-5</v>
      </c>
      <c r="W80" s="39">
        <f>TRUNC(Skills!AG$27)</f>
        <v>0</v>
      </c>
      <c r="X80" s="39">
        <f>3*COUNTIF(Feats!D164:D175,P80)+IF(Classes!C9&gt;0,2,0)+IF(W99&gt;=5,2,0)+IF(OR(Status="shaken",Status="sickened"),-2,0)</f>
        <v>0</v>
      </c>
      <c r="AA80" s="18"/>
    </row>
    <row r="81" spans="1:27" ht="12.75">
      <c r="A81" s="148">
        <f>IF(ISNA(Scratch!C18),"",Scratch!C18)</f>
      </c>
      <c r="B81" s="149"/>
      <c r="C81" s="149"/>
      <c r="D81" s="149"/>
      <c r="E81" s="149"/>
      <c r="F81" s="149"/>
      <c r="G81" s="150"/>
      <c r="P81" s="151" t="s">
        <v>861</v>
      </c>
      <c r="Q81" s="151"/>
      <c r="R81" s="151"/>
      <c r="S81" s="151"/>
      <c r="T81" s="152" t="str">
        <f t="shared" si="2"/>
        <v>X</v>
      </c>
      <c r="U81" s="152"/>
      <c r="V81" s="39">
        <f t="shared" si="3"/>
        <v>-5</v>
      </c>
      <c r="W81" s="39">
        <f>TRUNC(Skills!AH$27)</f>
        <v>0</v>
      </c>
      <c r="X81" s="39">
        <f>3*COUNTIF(Feats!D164:D175,P81)+IF(OR(Status="shaken",Status="sickened"),-2,0)</f>
        <v>0</v>
      </c>
      <c r="AA81" s="18"/>
    </row>
    <row r="82" spans="1:27" ht="12.75">
      <c r="A82" s="148">
        <f>IF(ISNA(Scratch!C19),"",Scratch!C19)</f>
      </c>
      <c r="B82" s="149"/>
      <c r="C82" s="149"/>
      <c r="D82" s="149"/>
      <c r="E82" s="149"/>
      <c r="F82" s="149"/>
      <c r="G82" s="150"/>
      <c r="P82" s="151" t="s">
        <v>862</v>
      </c>
      <c r="Q82" s="151"/>
      <c r="R82" s="151"/>
      <c r="S82" s="151"/>
      <c r="T82" s="152" t="str">
        <f t="shared" si="2"/>
        <v>X</v>
      </c>
      <c r="U82" s="152"/>
      <c r="V82" s="39">
        <f t="shared" si="3"/>
        <v>-5</v>
      </c>
      <c r="W82" s="39">
        <f>TRUNC(Skills!AI$27)</f>
        <v>0</v>
      </c>
      <c r="X82" s="39">
        <f>3*COUNTIF(Feats!D164:D175,P82)+IF(OR(Status="shaken",Status="sickened"),-2,0)</f>
        <v>0</v>
      </c>
      <c r="AA82" s="18"/>
    </row>
    <row r="83" spans="1:27" ht="12.75">
      <c r="A83" s="148">
        <f>IF(ISNA(Scratch!C20),"",Scratch!C20)</f>
      </c>
      <c r="B83" s="149"/>
      <c r="C83" s="149"/>
      <c r="D83" s="149"/>
      <c r="E83" s="149"/>
      <c r="F83" s="149"/>
      <c r="G83" s="150"/>
      <c r="P83" s="151" t="s">
        <v>863</v>
      </c>
      <c r="Q83" s="151"/>
      <c r="R83" s="151"/>
      <c r="S83" s="151"/>
      <c r="T83" s="152" t="str">
        <f t="shared" si="2"/>
        <v>X</v>
      </c>
      <c r="U83" s="152"/>
      <c r="V83" s="39">
        <f t="shared" si="3"/>
        <v>-5</v>
      </c>
      <c r="W83" s="39">
        <f>TRUNC(Skills!AJ$27)</f>
        <v>0</v>
      </c>
      <c r="X83" s="39">
        <f>3*COUNTIF(Feats!D164:D175,P83)+IF(OR(Status="shaken",Status="sickened"),-2,0)</f>
        <v>0</v>
      </c>
      <c r="AA83" s="18"/>
    </row>
    <row r="84" spans="1:27" ht="12.75">
      <c r="A84" s="148">
        <f>IF(ISNA(Scratch!C21),"",Scratch!C21)</f>
      </c>
      <c r="B84" s="149"/>
      <c r="C84" s="149"/>
      <c r="D84" s="149"/>
      <c r="E84" s="149"/>
      <c r="F84" s="149"/>
      <c r="G84" s="150"/>
      <c r="P84" s="151" t="str">
        <f>"Kno. ("&amp;Skills!S81&amp;")"</f>
        <v>Kno. ()</v>
      </c>
      <c r="Q84" s="151"/>
      <c r="R84" s="151"/>
      <c r="S84" s="151"/>
      <c r="T84" s="152" t="str">
        <f t="shared" si="2"/>
        <v>X</v>
      </c>
      <c r="U84" s="152"/>
      <c r="V84" s="39">
        <f t="shared" si="3"/>
        <v>-5</v>
      </c>
      <c r="W84" s="39">
        <f>TRUNC(Skills!AK$27)</f>
        <v>0</v>
      </c>
      <c r="X84" s="39">
        <f>3*COUNTIF(Feats!D164:D175,P84)+IF(OR(Status="shaken",Status="sickened"),-2,0)</f>
        <v>0</v>
      </c>
      <c r="AA84" s="18"/>
    </row>
    <row r="85" spans="1:27" ht="12.75">
      <c r="A85" s="148">
        <f>IF(ISNA(Scratch!C22),"",Scratch!C22)</f>
      </c>
      <c r="B85" s="149"/>
      <c r="C85" s="149"/>
      <c r="D85" s="149"/>
      <c r="E85" s="149"/>
      <c r="F85" s="149"/>
      <c r="G85" s="150"/>
      <c r="P85" s="151" t="s">
        <v>155</v>
      </c>
      <c r="Q85" s="151"/>
      <c r="R85" s="151"/>
      <c r="S85" s="151"/>
      <c r="T85" s="152">
        <f>IF(Status="deafened","X",SUM(V85:X85))</f>
        <v>-5</v>
      </c>
      <c r="U85" s="152"/>
      <c r="V85" s="39">
        <f>WisMod</f>
        <v>-5</v>
      </c>
      <c r="W85" s="39">
        <f>TRUNC(Skills!AL$27)</f>
        <v>0</v>
      </c>
      <c r="X85" s="39">
        <f>3*COUNTIF(Feats!D164:D175,P85)+IF(Race="Elf",2,0)+IF(Race="Gnome",2,0)+IF(Race="Halfling",2,0)+IF(Race="Half-elf",1,0)+IF(Feats!H51&gt;0,2,0)+IF(OR(Status="shaken",Status="sickened"),-2,0)</f>
        <v>0</v>
      </c>
      <c r="AA85" s="18"/>
    </row>
    <row r="86" spans="1:27" ht="12.75">
      <c r="A86" s="148">
        <f>IF(ISNA(Scratch!C23),"",Scratch!C23)</f>
      </c>
      <c r="B86" s="149"/>
      <c r="C86" s="149"/>
      <c r="D86" s="149"/>
      <c r="E86" s="149"/>
      <c r="F86" s="149"/>
      <c r="G86" s="150"/>
      <c r="I86" s="157" t="s">
        <v>804</v>
      </c>
      <c r="J86" s="158"/>
      <c r="K86" s="158"/>
      <c r="L86" s="158"/>
      <c r="M86" s="158"/>
      <c r="N86" s="159"/>
      <c r="P86" s="151" t="s">
        <v>182</v>
      </c>
      <c r="Q86" s="151"/>
      <c r="R86" s="151"/>
      <c r="S86" s="151"/>
      <c r="T86" s="152">
        <f t="shared" si="1"/>
        <v>-5</v>
      </c>
      <c r="U86" s="152"/>
      <c r="V86" s="39">
        <f>DexMod</f>
        <v>-5</v>
      </c>
      <c r="W86" s="39">
        <f>TRUNC(Skills!AM$27)</f>
        <v>0</v>
      </c>
      <c r="X86" s="39">
        <f>3*COUNTIF(Feats!D164:D175,P86)+IF(Race="Halfling",2,0)+IF(Feats!H146&gt;0,2,0)+IF(OR(Status="shaken",Status="sickened"),-2,0)+V15</f>
        <v>0</v>
      </c>
      <c r="AA86" s="18"/>
    </row>
    <row r="87" spans="1:27" ht="12.75">
      <c r="A87" s="148">
        <f>IF(ISNA(Scratch!C24),"",Scratch!C24)</f>
      </c>
      <c r="B87" s="149"/>
      <c r="C87" s="149"/>
      <c r="D87" s="149"/>
      <c r="E87" s="149"/>
      <c r="F87" s="149"/>
      <c r="G87" s="150"/>
      <c r="I87" s="160" t="s">
        <v>817</v>
      </c>
      <c r="J87" s="145"/>
      <c r="K87" s="145"/>
      <c r="L87" s="145"/>
      <c r="M87" s="145"/>
      <c r="N87" s="61">
        <f>MAX(0,IF(ISBLANK(Skills!C6),IntMod,ROUND((Skills!C6-10.5)/2,0)))</f>
        <v>0</v>
      </c>
      <c r="P87" s="151" t="s">
        <v>183</v>
      </c>
      <c r="Q87" s="151"/>
      <c r="R87" s="151"/>
      <c r="S87" s="151"/>
      <c r="T87" s="152" t="str">
        <f>IF(W87&gt;0,SUM(V87:X87),"X")</f>
        <v>X</v>
      </c>
      <c r="U87" s="152"/>
      <c r="V87" s="39">
        <f>DexMod</f>
        <v>-5</v>
      </c>
      <c r="W87" s="39">
        <f>TRUNC(Skills!AN$27)</f>
        <v>0</v>
      </c>
      <c r="X87" s="39">
        <f>3*COUNTIF(Feats!D164:D175,P87)+IF(Feats!H121&gt;0,2,0)+IF(SUM(Gear!N105:N106)=0,-2,IF(Gear!N105&gt;0,2,0))+IF(OR(Status="shaken",Status="sickened"),-2,0)</f>
        <v>-2</v>
      </c>
      <c r="AA87" s="18"/>
    </row>
    <row r="88" spans="1:24" ht="12.75">
      <c r="A88" s="148">
        <f>IF(ISNA(Scratch!C25),"",Scratch!C25)</f>
      </c>
      <c r="B88" s="149"/>
      <c r="C88" s="149"/>
      <c r="D88" s="149"/>
      <c r="E88" s="149"/>
      <c r="F88" s="149"/>
      <c r="G88" s="150"/>
      <c r="I88" s="153" t="s">
        <v>818</v>
      </c>
      <c r="J88" s="144"/>
      <c r="K88" s="144"/>
      <c r="L88" s="144"/>
      <c r="M88" s="144"/>
      <c r="N88" s="62">
        <f>TRUNC(Skills!AX27)</f>
        <v>0</v>
      </c>
      <c r="P88" s="151" t="str">
        <f>"Perform ("&amp;Skills!AO5&amp;")"</f>
        <v>Perform ()</v>
      </c>
      <c r="Q88" s="151"/>
      <c r="R88" s="151"/>
      <c r="S88" s="151"/>
      <c r="T88" s="152">
        <f t="shared" si="1"/>
        <v>-5</v>
      </c>
      <c r="U88" s="152"/>
      <c r="V88" s="39">
        <f>ChaMod</f>
        <v>-5</v>
      </c>
      <c r="W88" s="39">
        <f>TRUNC(Skills!AO$27)</f>
        <v>0</v>
      </c>
      <c r="X88" s="39">
        <f>3*COUNTIF(Feats!D164:D175,P88)+IF(OR(Status="shaken",Status="sickened"),-2,0)</f>
        <v>0</v>
      </c>
    </row>
    <row r="89" spans="1:24" ht="12.75">
      <c r="A89" s="148">
        <f>IF(ISNA(Scratch!C26),"",Scratch!C26)</f>
      </c>
      <c r="B89" s="149"/>
      <c r="C89" s="149"/>
      <c r="D89" s="149"/>
      <c r="E89" s="149"/>
      <c r="F89" s="149"/>
      <c r="G89" s="150"/>
      <c r="I89" s="241"/>
      <c r="J89" s="242"/>
      <c r="K89" s="242"/>
      <c r="L89" s="242"/>
      <c r="M89" s="242"/>
      <c r="N89" s="243"/>
      <c r="P89" s="151" t="str">
        <f>"Perform ("&amp;Skills!AP5&amp;")"</f>
        <v>Perform ()</v>
      </c>
      <c r="Q89" s="151"/>
      <c r="R89" s="151"/>
      <c r="S89" s="151"/>
      <c r="T89" s="152">
        <f t="shared" si="1"/>
        <v>-5</v>
      </c>
      <c r="U89" s="152"/>
      <c r="V89" s="39">
        <f>ChaMod</f>
        <v>-5</v>
      </c>
      <c r="W89" s="39">
        <f>TRUNC(Skills!AP$27)</f>
        <v>0</v>
      </c>
      <c r="X89" s="39">
        <f>3*COUNTIF(Feats!D164:D175,P89)+IF(OR(Status="shaken",Status="sickened"),-2,0)</f>
        <v>0</v>
      </c>
    </row>
    <row r="90" spans="1:24" ht="12.75">
      <c r="A90" s="148">
        <f>IF(ISNA(Scratch!C27),"",Scratch!C27)</f>
      </c>
      <c r="B90" s="149"/>
      <c r="C90" s="149"/>
      <c r="D90" s="149"/>
      <c r="E90" s="149"/>
      <c r="F90" s="149"/>
      <c r="G90" s="150"/>
      <c r="I90" s="148"/>
      <c r="J90" s="149"/>
      <c r="K90" s="149"/>
      <c r="L90" s="149"/>
      <c r="M90" s="149"/>
      <c r="N90" s="150"/>
      <c r="P90" s="151" t="str">
        <f>"Perform ("&amp;Skills!AQ5&amp;")"</f>
        <v>Perform ()</v>
      </c>
      <c r="Q90" s="151"/>
      <c r="R90" s="151"/>
      <c r="S90" s="151"/>
      <c r="T90" s="152">
        <f t="shared" si="1"/>
        <v>-5</v>
      </c>
      <c r="U90" s="152"/>
      <c r="V90" s="39">
        <f>ChaMod</f>
        <v>-5</v>
      </c>
      <c r="W90" s="39">
        <f>TRUNC(Skills!AQ$27)</f>
        <v>0</v>
      </c>
      <c r="X90" s="39">
        <f>3*COUNTIF(Feats!D164:D175,P90)+IF(OR(Status="shaken",Status="sickened"),-2,0)</f>
        <v>0</v>
      </c>
    </row>
    <row r="91" spans="1:24" ht="12.75">
      <c r="A91" s="148">
        <f>IF(ISNA(Scratch!C28),"",Scratch!C28)</f>
      </c>
      <c r="B91" s="149"/>
      <c r="C91" s="149"/>
      <c r="D91" s="149"/>
      <c r="E91" s="149"/>
      <c r="F91" s="149"/>
      <c r="G91" s="150"/>
      <c r="I91" s="148"/>
      <c r="J91" s="149"/>
      <c r="K91" s="149"/>
      <c r="L91" s="149"/>
      <c r="M91" s="149"/>
      <c r="N91" s="150"/>
      <c r="P91" s="151" t="str">
        <f>"Profession ("&amp;Skills!AR5&amp;")"</f>
        <v>Profession ()</v>
      </c>
      <c r="Q91" s="151"/>
      <c r="R91" s="151"/>
      <c r="S91" s="151"/>
      <c r="T91" s="152" t="str">
        <f>IF(W91&gt;0,SUM(V91:X91),"X")</f>
        <v>X</v>
      </c>
      <c r="U91" s="152"/>
      <c r="V91" s="39">
        <f>WisMod</f>
        <v>-5</v>
      </c>
      <c r="W91" s="39">
        <f>TRUNC(Skills!AR$27)</f>
        <v>0</v>
      </c>
      <c r="X91" s="39">
        <f>3*COUNTIF(Feats!D164:D175,P91)+IF(OR(Status="shaken",Status="sickened"),-2,0)</f>
        <v>0</v>
      </c>
    </row>
    <row r="92" spans="1:24" ht="12.75">
      <c r="A92" s="148">
        <f>IF(ISNA(Scratch!C29),"",Scratch!C29)</f>
      </c>
      <c r="B92" s="149"/>
      <c r="C92" s="149"/>
      <c r="D92" s="149"/>
      <c r="E92" s="149"/>
      <c r="F92" s="149"/>
      <c r="G92" s="150"/>
      <c r="I92" s="148"/>
      <c r="J92" s="149"/>
      <c r="K92" s="149"/>
      <c r="L92" s="149"/>
      <c r="M92" s="149"/>
      <c r="N92" s="150"/>
      <c r="P92" s="151" t="str">
        <f>"Profession ("&amp;Skills!AS5&amp;")"</f>
        <v>Profession ()</v>
      </c>
      <c r="Q92" s="151"/>
      <c r="R92" s="151"/>
      <c r="S92" s="151"/>
      <c r="T92" s="152" t="str">
        <f>IF(W92&gt;0,SUM(V92:X92),"X")</f>
        <v>X</v>
      </c>
      <c r="U92" s="152"/>
      <c r="V92" s="39">
        <f>WisMod</f>
        <v>-5</v>
      </c>
      <c r="W92" s="39">
        <f>TRUNC(Skills!AS$27)</f>
        <v>0</v>
      </c>
      <c r="X92" s="39">
        <f>3*COUNTIF(Feats!D164:D175,P92)+IF(OR(Status="shaken",Status="sickened"),-2,0)</f>
        <v>0</v>
      </c>
    </row>
    <row r="93" spans="1:24" ht="12.75">
      <c r="A93" s="154">
        <f>IF(ISNA(Scratch!C30),"",Scratch!C30)</f>
      </c>
      <c r="B93" s="155"/>
      <c r="C93" s="155"/>
      <c r="D93" s="155"/>
      <c r="E93" s="155"/>
      <c r="F93" s="155"/>
      <c r="G93" s="156"/>
      <c r="I93" s="148"/>
      <c r="J93" s="149"/>
      <c r="K93" s="149"/>
      <c r="L93" s="149"/>
      <c r="M93" s="149"/>
      <c r="N93" s="150"/>
      <c r="P93" s="151" t="s">
        <v>160</v>
      </c>
      <c r="Q93" s="151"/>
      <c r="R93" s="151"/>
      <c r="S93" s="151"/>
      <c r="T93" s="152">
        <f t="shared" si="1"/>
        <v>-5</v>
      </c>
      <c r="U93" s="152"/>
      <c r="V93" s="39">
        <f>DexMod</f>
        <v>-5</v>
      </c>
      <c r="W93" s="39">
        <f>TRUNC(Skills!AT$27)</f>
        <v>0</v>
      </c>
      <c r="X93" s="39">
        <f>3*COUNTIF(Feats!D164:D175,P93)+IF(Feats!H52&gt;0,2,0)+IF(W69&gt;=5,2,0)+IF(OR(Status="shaken",Status="sickened"),-2,0)+W15</f>
        <v>0</v>
      </c>
    </row>
    <row r="94" spans="9:24" ht="12.75">
      <c r="I94" s="148"/>
      <c r="J94" s="149"/>
      <c r="K94" s="149"/>
      <c r="L94" s="149"/>
      <c r="M94" s="149"/>
      <c r="N94" s="150"/>
      <c r="P94" s="151" t="s">
        <v>161</v>
      </c>
      <c r="Q94" s="151"/>
      <c r="R94" s="151"/>
      <c r="S94" s="151"/>
      <c r="T94" s="152">
        <f t="shared" si="1"/>
        <v>-5</v>
      </c>
      <c r="U94" s="152"/>
      <c r="V94" s="39">
        <f>IntMod</f>
        <v>-5</v>
      </c>
      <c r="W94" s="39">
        <f>TRUNC(Skills!AU$27)</f>
        <v>0</v>
      </c>
      <c r="X94" s="39">
        <f>3*COUNTIF(Feats!D164:D175,P94)+IF(Race="Elf",2,0)+IF(Race="Half-elf",1,0)+IF(Feats!H108&gt;0,2,0)+IF(Status="Blinded",-4,0)+IF(Status="dazzled",-1,0)+IF(OR(Status="shaken",Status="sickened"),-2,0)</f>
        <v>0</v>
      </c>
    </row>
    <row r="95" spans="1:24" ht="12.75">
      <c r="A95" s="157" t="s">
        <v>835</v>
      </c>
      <c r="B95" s="158"/>
      <c r="C95" s="158"/>
      <c r="D95" s="158"/>
      <c r="E95" s="158"/>
      <c r="F95" s="158"/>
      <c r="G95" s="159"/>
      <c r="I95" s="148"/>
      <c r="J95" s="149"/>
      <c r="K95" s="149"/>
      <c r="L95" s="149"/>
      <c r="M95" s="149"/>
      <c r="N95" s="150"/>
      <c r="P95" s="151" t="s">
        <v>184</v>
      </c>
      <c r="Q95" s="151"/>
      <c r="R95" s="151"/>
      <c r="S95" s="151"/>
      <c r="T95" s="152">
        <f t="shared" si="1"/>
        <v>-5</v>
      </c>
      <c r="U95" s="152"/>
      <c r="V95" s="39">
        <f>WisMod</f>
        <v>-5</v>
      </c>
      <c r="W95" s="39">
        <f>TRUNC(Skills!AV$27)</f>
        <v>0</v>
      </c>
      <c r="X95" s="39">
        <f>3*COUNTIF(Feats!D164:D175,P95)+IF(Feats!H120&gt;0,2,0)+IF(OR(Status="shaken",Status="sickened"),-2,0)</f>
        <v>0</v>
      </c>
    </row>
    <row r="96" spans="1:24" ht="12.75">
      <c r="A96" s="168" t="s">
        <v>836</v>
      </c>
      <c r="B96" s="142"/>
      <c r="C96" s="142"/>
      <c r="D96" s="142"/>
      <c r="E96" s="142"/>
      <c r="F96" s="145">
        <f>500*ChrLevel*(ChrLevel-1)</f>
        <v>0</v>
      </c>
      <c r="G96" s="164"/>
      <c r="I96" s="148"/>
      <c r="J96" s="149"/>
      <c r="K96" s="149"/>
      <c r="L96" s="149"/>
      <c r="M96" s="149"/>
      <c r="N96" s="150"/>
      <c r="P96" s="151" t="s">
        <v>185</v>
      </c>
      <c r="Q96" s="151"/>
      <c r="R96" s="151"/>
      <c r="S96" s="151"/>
      <c r="T96" s="152" t="str">
        <f>IF(W96&gt;0,SUM(V96:X96),"X")</f>
        <v>X</v>
      </c>
      <c r="U96" s="152"/>
      <c r="V96" s="39">
        <f>DexMod</f>
        <v>-5</v>
      </c>
      <c r="W96" s="39">
        <f>TRUNC(Skills!AW$27)</f>
        <v>0</v>
      </c>
      <c r="X96" s="39">
        <f>3*COUNTIF(Feats!D164:D175,P96)+IF(Feats!H72&gt;0,2,0)+IF(W56&gt;=5,2,0)+IF(OR(Status="shaken",Status="sickened"),-2,0)+V15</f>
        <v>0</v>
      </c>
    </row>
    <row r="97" spans="1:24" ht="12.75">
      <c r="A97" s="169" t="s">
        <v>837</v>
      </c>
      <c r="B97" s="143"/>
      <c r="C97" s="143"/>
      <c r="D97" s="143"/>
      <c r="E97" s="143"/>
      <c r="F97" s="165"/>
      <c r="G97" s="166"/>
      <c r="I97" s="148"/>
      <c r="J97" s="149"/>
      <c r="K97" s="149"/>
      <c r="L97" s="149"/>
      <c r="M97" s="149"/>
      <c r="N97" s="150"/>
      <c r="P97" s="151" t="s">
        <v>165</v>
      </c>
      <c r="Q97" s="151"/>
      <c r="R97" s="151"/>
      <c r="S97" s="151"/>
      <c r="T97" s="152" t="str">
        <f>IF(W97&gt;0,SUM(V97:X97),"X")</f>
        <v>X</v>
      </c>
      <c r="U97" s="152"/>
      <c r="V97" s="39">
        <f>IntMod</f>
        <v>-5</v>
      </c>
      <c r="W97" s="39">
        <f>TRUNC(Skills!AY$27)</f>
        <v>0</v>
      </c>
      <c r="X97" s="39">
        <f>3*COUNTIF(Feats!D164:D175,P97)+IF(Feats!H112&gt;0,2,0)+IF(W74&gt;=5,2,0)+IF(OR(Status="shaken",Status="sickened"),-2,0)</f>
        <v>0</v>
      </c>
    </row>
    <row r="98" spans="1:24" ht="12.75">
      <c r="A98" s="162" t="s">
        <v>838</v>
      </c>
      <c r="B98" s="163"/>
      <c r="C98" s="163"/>
      <c r="D98" s="163"/>
      <c r="E98" s="163"/>
      <c r="F98" s="144">
        <f>500*ChrLevel*(ChrLevel+1)</f>
        <v>0</v>
      </c>
      <c r="G98" s="167"/>
      <c r="I98" s="148"/>
      <c r="J98" s="149"/>
      <c r="K98" s="149"/>
      <c r="L98" s="149"/>
      <c r="M98" s="149"/>
      <c r="N98" s="150"/>
      <c r="P98" s="151" t="s">
        <v>166</v>
      </c>
      <c r="Q98" s="151"/>
      <c r="R98" s="151"/>
      <c r="S98" s="151"/>
      <c r="T98" s="152">
        <f>IF(Status="blinded","X",SUM(V98:X98))</f>
        <v>-5</v>
      </c>
      <c r="U98" s="152"/>
      <c r="V98" s="39">
        <f>WisMod</f>
        <v>-5</v>
      </c>
      <c r="W98" s="39">
        <f>TRUNC(Skills!AZ$27)</f>
        <v>0</v>
      </c>
      <c r="X98" s="39">
        <f>3*COUNTIF(Feats!D164:D175,P98)+IF(Race="Elf",2,0)+IF(Race="Half-elf",1,0)+IF(Feats!H51&gt;0,2,0)+IF(Status="dazzled",-1,0)+IF(OR(Status="shaken",Status="sickened"),-2,0)</f>
        <v>0</v>
      </c>
    </row>
    <row r="99" spans="9:24" ht="12.75">
      <c r="I99" s="148"/>
      <c r="J99" s="149"/>
      <c r="K99" s="149"/>
      <c r="L99" s="149"/>
      <c r="M99" s="149"/>
      <c r="N99" s="150"/>
      <c r="P99" s="151" t="s">
        <v>167</v>
      </c>
      <c r="Q99" s="151"/>
      <c r="R99" s="151"/>
      <c r="S99" s="151"/>
      <c r="T99" s="152">
        <f t="shared" si="1"/>
        <v>-5</v>
      </c>
      <c r="U99" s="152"/>
      <c r="V99" s="39">
        <f>WisMod</f>
        <v>-5</v>
      </c>
      <c r="W99" s="39">
        <f>TRUNC(Skills!BA$27)</f>
        <v>0</v>
      </c>
      <c r="X99" s="39">
        <f>3*COUNTIF(Feats!D164:D175,P99)+IF(Classes!C9&gt;0,2,0)+IF(Feats!H134&gt;0,2,0)+IF(OR(Status="shaken",Status="sickened"),-2,0)</f>
        <v>0</v>
      </c>
    </row>
    <row r="100" spans="9:24" ht="12.75">
      <c r="I100" s="148"/>
      <c r="J100" s="149"/>
      <c r="K100" s="149"/>
      <c r="L100" s="149"/>
      <c r="M100" s="149"/>
      <c r="N100" s="150"/>
      <c r="P100" s="151" t="s">
        <v>168</v>
      </c>
      <c r="Q100" s="151"/>
      <c r="R100" s="151"/>
      <c r="S100" s="151"/>
      <c r="T100" s="152">
        <f t="shared" si="1"/>
        <v>-5</v>
      </c>
      <c r="U100" s="152"/>
      <c r="V100" s="39">
        <f>StrMod</f>
        <v>-5</v>
      </c>
      <c r="W100" s="39">
        <f>TRUNC(Skills!BB$27)</f>
        <v>0</v>
      </c>
      <c r="X100" s="39">
        <f>3*COUNTIF(Feats!D164:D175,P100)+IF(Feats!H56&gt;0,2,0)+IF(OR(Status="shaken",Status="sickened"),-2,0)+2*V15</f>
        <v>0</v>
      </c>
    </row>
    <row r="101" spans="9:24" ht="12.75">
      <c r="I101" s="148"/>
      <c r="J101" s="149"/>
      <c r="K101" s="149"/>
      <c r="L101" s="149"/>
      <c r="M101" s="149"/>
      <c r="N101" s="150"/>
      <c r="P101" s="151" t="s">
        <v>169</v>
      </c>
      <c r="Q101" s="151"/>
      <c r="R101" s="151"/>
      <c r="S101" s="151"/>
      <c r="T101" s="152" t="str">
        <f>IF(W101&gt;0,SUM(V101:X101),"X")</f>
        <v>X</v>
      </c>
      <c r="U101" s="152"/>
      <c r="V101" s="39">
        <f>DexMod</f>
        <v>-5</v>
      </c>
      <c r="W101" s="39">
        <f>TRUNC(Skills!BC$27)</f>
        <v>0</v>
      </c>
      <c r="X101" s="39">
        <f>3*COUNTIF(Feats!D164:D175,P101)+IF(Feats!H49&gt;0,2,0)+IF(W73&gt;=5,2,0)+IF(OR(Status="shaken",Status="sickened"),-2,0)</f>
        <v>0</v>
      </c>
    </row>
    <row r="102" spans="9:24" ht="12.75">
      <c r="I102" s="148"/>
      <c r="J102" s="149"/>
      <c r="K102" s="149"/>
      <c r="L102" s="149"/>
      <c r="M102" s="149"/>
      <c r="N102" s="150"/>
      <c r="P102" s="151" t="s">
        <v>187</v>
      </c>
      <c r="Q102" s="151"/>
      <c r="R102" s="151"/>
      <c r="S102" s="151"/>
      <c r="T102" s="152" t="str">
        <f>IF(W102&gt;0,SUM(V102:X102),"X")</f>
        <v>X</v>
      </c>
      <c r="U102" s="152"/>
      <c r="V102" s="39">
        <f>ChaMod</f>
        <v>-5</v>
      </c>
      <c r="W102" s="39">
        <f>TRUNC(Skills!BD$27)</f>
        <v>0</v>
      </c>
      <c r="X102" s="39">
        <f>3*COUNTIF(Feats!D164:D175,P102)+IF(Feats!H112&gt;0,2,0)+IF(OR(Status="shaken",Status="sickened"),-2,0)</f>
        <v>0</v>
      </c>
    </row>
    <row r="103" spans="9:24" ht="12.75">
      <c r="I103" s="148"/>
      <c r="J103" s="149"/>
      <c r="K103" s="149"/>
      <c r="L103" s="149"/>
      <c r="M103" s="149"/>
      <c r="N103" s="150"/>
      <c r="P103" s="151" t="s">
        <v>188</v>
      </c>
      <c r="Q103" s="151"/>
      <c r="R103" s="151"/>
      <c r="S103" s="151"/>
      <c r="T103" s="152">
        <f t="shared" si="1"/>
        <v>-5</v>
      </c>
      <c r="U103" s="152"/>
      <c r="V103" s="39">
        <f>DexMod</f>
        <v>-5</v>
      </c>
      <c r="W103" s="39">
        <f>TRUNC(Skills!BE$27)</f>
        <v>0</v>
      </c>
      <c r="X103" s="39">
        <f>3*COUNTIF(Feats!D164:D175,P103)+IF(Feats!H72&gt;0,2,0)+IF(OR(Status="shaken",Status="sickened"),-2,0)</f>
        <v>0</v>
      </c>
    </row>
    <row r="104" spans="9:24" ht="12.75">
      <c r="I104" s="154"/>
      <c r="J104" s="155"/>
      <c r="K104" s="155"/>
      <c r="L104" s="155"/>
      <c r="M104" s="155"/>
      <c r="N104" s="156"/>
      <c r="P104" s="151" t="str">
        <f>"Custom ("&amp;Skills!BF5&amp;")"</f>
        <v>Custom ()</v>
      </c>
      <c r="Q104" s="151"/>
      <c r="R104" s="151"/>
      <c r="S104" s="151"/>
      <c r="T104" s="152">
        <f t="shared" si="1"/>
        <v>0</v>
      </c>
      <c r="U104" s="152"/>
      <c r="V104" s="39">
        <f>IF(Skills!BG5="Str",StrMod,IF(Skills!BG5="Dex",DexMod,IF(Skills!BG5="Con",ConMod,IF(Skills!BG5="Int",IntMod,IF(Skills!BG5="Wis",WisMod,IF(Skills!BG5="Cha",ChaMod,0))))))</f>
        <v>0</v>
      </c>
      <c r="W104" s="39">
        <f>TRUNC(Skills!BF$27)</f>
        <v>0</v>
      </c>
      <c r="X104" s="39">
        <f>3*COUNTIF(Feats!D164:D175,P104)+IF(OR(Status="shaken",Status="sickened"),-2,0)</f>
        <v>0</v>
      </c>
    </row>
    <row r="105" spans="1:29" ht="12.75">
      <c r="A105" s="157" t="s">
        <v>339</v>
      </c>
      <c r="B105" s="158"/>
      <c r="C105" s="158"/>
      <c r="D105" s="158"/>
      <c r="E105" s="158"/>
      <c r="F105" s="158"/>
      <c r="G105" s="159"/>
      <c r="I105" s="232" t="s">
        <v>346</v>
      </c>
      <c r="J105" s="233"/>
      <c r="K105" s="233"/>
      <c r="L105" s="233"/>
      <c r="M105" s="233"/>
      <c r="N105" s="234"/>
      <c r="P105" s="232" t="s">
        <v>347</v>
      </c>
      <c r="Q105" s="233"/>
      <c r="R105" s="233"/>
      <c r="S105" s="233"/>
      <c r="T105" s="233"/>
      <c r="U105" s="234"/>
      <c r="Z105" s="201" t="s">
        <v>0</v>
      </c>
      <c r="AA105" s="202"/>
      <c r="AB105" s="202" t="s">
        <v>1</v>
      </c>
      <c r="AC105" s="203"/>
    </row>
    <row r="106" spans="1:29" ht="12.75">
      <c r="A106" s="37" t="s">
        <v>340</v>
      </c>
      <c r="B106" s="38" t="s">
        <v>342</v>
      </c>
      <c r="C106" s="38" t="s">
        <v>341</v>
      </c>
      <c r="D106" s="38" t="s">
        <v>343</v>
      </c>
      <c r="E106" s="38" t="s">
        <v>344</v>
      </c>
      <c r="F106" s="144" t="s">
        <v>345</v>
      </c>
      <c r="G106" s="167"/>
      <c r="I106" s="37" t="s">
        <v>340</v>
      </c>
      <c r="J106" s="38" t="s">
        <v>341</v>
      </c>
      <c r="K106" s="38" t="s">
        <v>343</v>
      </c>
      <c r="L106" s="38" t="s">
        <v>344</v>
      </c>
      <c r="M106" s="191" t="s">
        <v>345</v>
      </c>
      <c r="N106" s="228"/>
      <c r="P106" s="37" t="s">
        <v>340</v>
      </c>
      <c r="Q106" s="38" t="s">
        <v>341</v>
      </c>
      <c r="R106" s="38" t="s">
        <v>343</v>
      </c>
      <c r="S106" s="38" t="s">
        <v>344</v>
      </c>
      <c r="T106" s="191" t="s">
        <v>345</v>
      </c>
      <c r="U106" s="228"/>
      <c r="Z106" s="185"/>
      <c r="AA106" s="186"/>
      <c r="AB106" s="186"/>
      <c r="AC106" s="189"/>
    </row>
    <row r="107" spans="1:29" ht="12.75">
      <c r="A107" s="47">
        <v>0</v>
      </c>
      <c r="B107" s="47" t="str">
        <f ca="1">IF(Cha&gt;=10+A107,OFFSET(Spells!M$99,Begin!F$34+1,A107+1)," - ")</f>
        <v> - </v>
      </c>
      <c r="C107" s="47">
        <f>10+A107+ChaMod</f>
        <v>5</v>
      </c>
      <c r="D107" s="47" t="str">
        <f ca="1">IF(Cha&gt;=10+A107,OFFSET(Spells!A$99,Begin!F$34+1,A107+1)," - ")</f>
        <v> - </v>
      </c>
      <c r="E107" s="47" t="s">
        <v>476</v>
      </c>
      <c r="F107" s="152">
        <f>SUM(D107:E107)</f>
        <v>0</v>
      </c>
      <c r="G107" s="152"/>
      <c r="I107" s="47">
        <v>0</v>
      </c>
      <c r="J107" s="47">
        <f>10+I107+WisMod</f>
        <v>5</v>
      </c>
      <c r="K107" s="47" t="str">
        <f ca="1">IF(Wis&gt;=10+I107,OFFSET(Spells!A$51,Begin!I$34+1,I107+1)," - ")</f>
        <v> - </v>
      </c>
      <c r="L107" s="47" t="s">
        <v>476</v>
      </c>
      <c r="M107" s="152">
        <f>SUM(K107:L107)</f>
        <v>0</v>
      </c>
      <c r="N107" s="152"/>
      <c r="P107" s="47">
        <v>0</v>
      </c>
      <c r="Q107" s="47">
        <f aca="true" t="shared" si="4" ref="Q107:Q116">10+P107+WisMod</f>
        <v>5</v>
      </c>
      <c r="R107" s="47" t="str">
        <f ca="1">IF(Wis&gt;=10+P107,OFFSET(Spells!A$51,Begin!C$47+1,P107+1)," - ")</f>
        <v> - </v>
      </c>
      <c r="S107" s="47" t="s">
        <v>476</v>
      </c>
      <c r="T107" s="152">
        <f>SUM(R107:S107)</f>
        <v>0</v>
      </c>
      <c r="U107" s="152"/>
      <c r="Z107" s="185" t="s">
        <v>2</v>
      </c>
      <c r="AA107" s="186"/>
      <c r="AB107" s="186" t="s">
        <v>3</v>
      </c>
      <c r="AC107" s="189"/>
    </row>
    <row r="108" spans="1:29" ht="12.75">
      <c r="A108" s="47">
        <v>1</v>
      </c>
      <c r="B108" s="47" t="str">
        <f ca="1">IF(Cha&gt;=10+A108,OFFSET(Spells!M$99,Begin!F$34+1,A108+1)," - ")</f>
        <v> - </v>
      </c>
      <c r="C108" s="47">
        <f aca="true" t="shared" si="5" ref="C108:C113">10+A108+ChaMod</f>
        <v>6</v>
      </c>
      <c r="D108" s="47" t="str">
        <f ca="1">IF(Cha&gt;=10+A108,OFFSET(Spells!A$99,Begin!F$34+1,A108+1)," - ")</f>
        <v> - </v>
      </c>
      <c r="E108" s="47" t="str">
        <f aca="true" t="shared" si="6" ref="E108:E113">IF(D108=" - "," - ",MAX(0,TRUNC((ChaMod-A108+4)/4)))</f>
        <v> - </v>
      </c>
      <c r="F108" s="152">
        <f aca="true" t="shared" si="7" ref="F108:F113">SUM(D108:E108)</f>
        <v>0</v>
      </c>
      <c r="G108" s="152"/>
      <c r="I108" s="47">
        <v>1</v>
      </c>
      <c r="J108" s="47">
        <f aca="true" t="shared" si="8" ref="J108:J116">10+I108+WisMod</f>
        <v>6</v>
      </c>
      <c r="K108" s="47" t="str">
        <f ca="1">IF(Wis&gt;=10+I108,OFFSET(Spells!A$51,Begin!I$34+1,I108+1)," - ")</f>
        <v> - </v>
      </c>
      <c r="L108" s="47" t="str">
        <f>IF(K108=" - "," - ",MAX(0,TRUNC((WisMod-I108+4)/4)))</f>
        <v> - </v>
      </c>
      <c r="M108" s="152" t="str">
        <f aca="true" t="shared" si="9" ref="M108:M116">SUM(K108:L108)&amp;IF(SUM(K108:L108)&gt;0,"+1","")</f>
        <v>0</v>
      </c>
      <c r="N108" s="152"/>
      <c r="P108" s="47">
        <v>1</v>
      </c>
      <c r="Q108" s="47">
        <f t="shared" si="4"/>
        <v>6</v>
      </c>
      <c r="R108" s="47" t="str">
        <f ca="1">IF(Wis&gt;=10+P108,OFFSET(Spells!A$51,Begin!C$47+1,P108+1)," - ")</f>
        <v> - </v>
      </c>
      <c r="S108" s="47" t="str">
        <f>IF(R108=" - "," - ",MAX(0,TRUNC((WisMod-P108+4)/4)))</f>
        <v> - </v>
      </c>
      <c r="T108" s="152">
        <f>SUM(R108:S108)</f>
        <v>0</v>
      </c>
      <c r="U108" s="152"/>
      <c r="Z108" s="187"/>
      <c r="AA108" s="188"/>
      <c r="AB108" s="188"/>
      <c r="AC108" s="190"/>
    </row>
    <row r="109" spans="1:29" ht="12.75">
      <c r="A109" s="47">
        <v>2</v>
      </c>
      <c r="B109" s="47" t="str">
        <f ca="1">IF(Cha&gt;=10+A109,OFFSET(Spells!M$99,Begin!F$34+1,A109+1)," - ")</f>
        <v> - </v>
      </c>
      <c r="C109" s="47">
        <f t="shared" si="5"/>
        <v>7</v>
      </c>
      <c r="D109" s="47" t="str">
        <f ca="1">IF(Cha&gt;=10+A109,OFFSET(Spells!A$99,Begin!F$34+1,A109+1)," - ")</f>
        <v> - </v>
      </c>
      <c r="E109" s="47" t="str">
        <f t="shared" si="6"/>
        <v> - </v>
      </c>
      <c r="F109" s="152">
        <f t="shared" si="7"/>
        <v>0</v>
      </c>
      <c r="G109" s="152"/>
      <c r="I109" s="47">
        <v>2</v>
      </c>
      <c r="J109" s="47">
        <f t="shared" si="8"/>
        <v>7</v>
      </c>
      <c r="K109" s="47" t="str">
        <f ca="1">IF(Wis&gt;=10+I109,OFFSET(Spells!A$51,Begin!I$34+1,I109+1)," - ")</f>
        <v> - </v>
      </c>
      <c r="L109" s="47" t="str">
        <f aca="true" t="shared" si="10" ref="L109:L116">IF(K109=" - "," - ",MAX(0,TRUNC((WisMod-I109+4)/4)))</f>
        <v> - </v>
      </c>
      <c r="M109" s="152" t="str">
        <f t="shared" si="9"/>
        <v>0</v>
      </c>
      <c r="N109" s="152"/>
      <c r="P109" s="47">
        <v>2</v>
      </c>
      <c r="Q109" s="47">
        <f t="shared" si="4"/>
        <v>7</v>
      </c>
      <c r="R109" s="47" t="str">
        <f ca="1">IF(Wis&gt;=10+P109,OFFSET(Spells!A$51,Begin!C$47+1,P109+1)," - ")</f>
        <v> - </v>
      </c>
      <c r="S109" s="47" t="str">
        <f aca="true" t="shared" si="11" ref="S109:S116">IF(R109=" - "," - ",MAX(0,TRUNC((WisMod-P109+4)/4)))</f>
        <v> - </v>
      </c>
      <c r="T109" s="152">
        <f aca="true" t="shared" si="12" ref="T109:T116">SUM(R109:S109)</f>
        <v>0</v>
      </c>
      <c r="U109" s="152"/>
      <c r="Z109" s="179" t="s">
        <v>792</v>
      </c>
      <c r="AA109" s="180"/>
      <c r="AB109" s="180"/>
      <c r="AC109" s="181"/>
    </row>
    <row r="110" spans="1:29" ht="12.75">
      <c r="A110" s="47">
        <v>3</v>
      </c>
      <c r="B110" s="47" t="str">
        <f ca="1">IF(Cha&gt;=10+A110,OFFSET(Spells!M$99,Begin!F$34+1,A110+1)," - ")</f>
        <v> - </v>
      </c>
      <c r="C110" s="47">
        <f t="shared" si="5"/>
        <v>8</v>
      </c>
      <c r="D110" s="47" t="str">
        <f ca="1">IF(Cha&gt;=10+A110,OFFSET(Spells!A$99,Begin!F$34+1,A110+1)," - ")</f>
        <v> - </v>
      </c>
      <c r="E110" s="47" t="str">
        <f t="shared" si="6"/>
        <v> - </v>
      </c>
      <c r="F110" s="152">
        <f t="shared" si="7"/>
        <v>0</v>
      </c>
      <c r="G110" s="152"/>
      <c r="I110" s="47">
        <v>3</v>
      </c>
      <c r="J110" s="47">
        <f t="shared" si="8"/>
        <v>8</v>
      </c>
      <c r="K110" s="47" t="str">
        <f ca="1">IF(Wis&gt;=10+I110,OFFSET(Spells!A$51,Begin!I$34+1,I110+1)," - ")</f>
        <v> - </v>
      </c>
      <c r="L110" s="47" t="str">
        <f t="shared" si="10"/>
        <v> - </v>
      </c>
      <c r="M110" s="152" t="str">
        <f t="shared" si="9"/>
        <v>0</v>
      </c>
      <c r="N110" s="152"/>
      <c r="P110" s="47">
        <v>3</v>
      </c>
      <c r="Q110" s="47">
        <f t="shared" si="4"/>
        <v>8</v>
      </c>
      <c r="R110" s="47" t="str">
        <f ca="1">IF(Wis&gt;=10+P110,OFFSET(Spells!A$51,Begin!C$47+1,P110+1)," - ")</f>
        <v> - </v>
      </c>
      <c r="S110" s="47" t="str">
        <f t="shared" si="11"/>
        <v> - </v>
      </c>
      <c r="T110" s="152">
        <f t="shared" si="12"/>
        <v>0</v>
      </c>
      <c r="U110" s="152"/>
      <c r="Z110" s="182" t="s">
        <v>793</v>
      </c>
      <c r="AA110" s="183"/>
      <c r="AB110" s="183"/>
      <c r="AC110" s="184"/>
    </row>
    <row r="111" spans="1:29" ht="12.75">
      <c r="A111" s="47">
        <v>4</v>
      </c>
      <c r="B111" s="47" t="str">
        <f ca="1">IF(Cha&gt;=10+A111,OFFSET(Spells!M$99,Begin!F$34+1,A111+1)," - ")</f>
        <v> - </v>
      </c>
      <c r="C111" s="47">
        <f t="shared" si="5"/>
        <v>9</v>
      </c>
      <c r="D111" s="47" t="str">
        <f ca="1">IF(Cha&gt;=10+A111,OFFSET(Spells!A$99,Begin!F$34+1,A111+1)," - ")</f>
        <v> - </v>
      </c>
      <c r="E111" s="47" t="str">
        <f t="shared" si="6"/>
        <v> - </v>
      </c>
      <c r="F111" s="152">
        <f t="shared" si="7"/>
        <v>0</v>
      </c>
      <c r="G111" s="152"/>
      <c r="I111" s="47">
        <v>4</v>
      </c>
      <c r="J111" s="47">
        <f t="shared" si="8"/>
        <v>9</v>
      </c>
      <c r="K111" s="47" t="str">
        <f ca="1">IF(Wis&gt;=10+I111,OFFSET(Spells!A$51,Begin!I$34+1,I111+1)," - ")</f>
        <v> - </v>
      </c>
      <c r="L111" s="47" t="str">
        <f t="shared" si="10"/>
        <v> - </v>
      </c>
      <c r="M111" s="152" t="str">
        <f t="shared" si="9"/>
        <v>0</v>
      </c>
      <c r="N111" s="152"/>
      <c r="P111" s="47">
        <v>4</v>
      </c>
      <c r="Q111" s="47">
        <f t="shared" si="4"/>
        <v>9</v>
      </c>
      <c r="R111" s="47" t="str">
        <f ca="1">IF(Wis&gt;=10+P111,OFFSET(Spells!A$51,Begin!C$47+1,P111+1)," - ")</f>
        <v> - </v>
      </c>
      <c r="S111" s="47" t="str">
        <f t="shared" si="11"/>
        <v> - </v>
      </c>
      <c r="T111" s="152">
        <f t="shared" si="12"/>
        <v>0</v>
      </c>
      <c r="U111" s="152"/>
      <c r="Z111" s="198" t="s">
        <v>794</v>
      </c>
      <c r="AA111" s="199"/>
      <c r="AB111" s="199"/>
      <c r="AC111" s="200"/>
    </row>
    <row r="112" spans="1:29" ht="12.75">
      <c r="A112" s="47">
        <v>5</v>
      </c>
      <c r="B112" s="47" t="str">
        <f ca="1">IF(Cha&gt;=10+A112,OFFSET(Spells!M$99,Begin!F$34+1,A112+1)," - ")</f>
        <v> - </v>
      </c>
      <c r="C112" s="47">
        <f t="shared" si="5"/>
        <v>10</v>
      </c>
      <c r="D112" s="47" t="str">
        <f ca="1">IF(Cha&gt;=10+A112,OFFSET(Spells!A$99,Begin!F$34+1,A112+1)," - ")</f>
        <v> - </v>
      </c>
      <c r="E112" s="47" t="str">
        <f t="shared" si="6"/>
        <v> - </v>
      </c>
      <c r="F112" s="152">
        <f t="shared" si="7"/>
        <v>0</v>
      </c>
      <c r="G112" s="152"/>
      <c r="I112" s="47">
        <v>5</v>
      </c>
      <c r="J112" s="47">
        <f t="shared" si="8"/>
        <v>10</v>
      </c>
      <c r="K112" s="47" t="str">
        <f ca="1">IF(Wis&gt;=10+I112,OFFSET(Spells!A$51,Begin!I$34+1,I112+1)," - ")</f>
        <v> - </v>
      </c>
      <c r="L112" s="47" t="str">
        <f t="shared" si="10"/>
        <v> - </v>
      </c>
      <c r="M112" s="152" t="str">
        <f t="shared" si="9"/>
        <v>0</v>
      </c>
      <c r="N112" s="152"/>
      <c r="P112" s="47">
        <v>5</v>
      </c>
      <c r="Q112" s="47">
        <f t="shared" si="4"/>
        <v>10</v>
      </c>
      <c r="R112" s="47" t="str">
        <f ca="1">IF(Wis&gt;=10+P112,OFFSET(Spells!A$51,Begin!C$47+1,P112+1)," - ")</f>
        <v> - </v>
      </c>
      <c r="S112" s="47" t="str">
        <f t="shared" si="11"/>
        <v> - </v>
      </c>
      <c r="T112" s="152">
        <f t="shared" si="12"/>
        <v>0</v>
      </c>
      <c r="U112" s="152"/>
      <c r="Z112" s="224" t="s">
        <v>795</v>
      </c>
      <c r="AA112" s="225"/>
      <c r="AB112" s="225"/>
      <c r="AC112" s="226"/>
    </row>
    <row r="113" spans="1:21" ht="12.75">
      <c r="A113" s="47">
        <v>6</v>
      </c>
      <c r="B113" s="47" t="str">
        <f ca="1">IF(Cha&gt;=10+A113,OFFSET(Spells!M$99,Begin!F$34+1,A113+1)," - ")</f>
        <v> - </v>
      </c>
      <c r="C113" s="47">
        <f t="shared" si="5"/>
        <v>11</v>
      </c>
      <c r="D113" s="47" t="str">
        <f ca="1">IF(Cha&gt;=10+A113,OFFSET(Spells!A$99,Begin!F$34+1,A113+1)," - ")</f>
        <v> - </v>
      </c>
      <c r="E113" s="47" t="str">
        <f t="shared" si="6"/>
        <v> - </v>
      </c>
      <c r="F113" s="152">
        <f t="shared" si="7"/>
        <v>0</v>
      </c>
      <c r="G113" s="152"/>
      <c r="I113" s="47">
        <v>6</v>
      </c>
      <c r="J113" s="47">
        <f t="shared" si="8"/>
        <v>11</v>
      </c>
      <c r="K113" s="47" t="str">
        <f ca="1">IF(Wis&gt;=10+I113,OFFSET(Spells!A$51,Begin!I$34+1,I113+1)," - ")</f>
        <v> - </v>
      </c>
      <c r="L113" s="47" t="str">
        <f t="shared" si="10"/>
        <v> - </v>
      </c>
      <c r="M113" s="152" t="str">
        <f t="shared" si="9"/>
        <v>0</v>
      </c>
      <c r="N113" s="152"/>
      <c r="P113" s="47">
        <v>6</v>
      </c>
      <c r="Q113" s="47">
        <f t="shared" si="4"/>
        <v>11</v>
      </c>
      <c r="R113" s="47" t="str">
        <f ca="1">IF(Wis&gt;=10+P113,OFFSET(Spells!A$51,Begin!C$47+1,P113+1)," - ")</f>
        <v> - </v>
      </c>
      <c r="S113" s="47" t="str">
        <f t="shared" si="11"/>
        <v> - </v>
      </c>
      <c r="T113" s="152">
        <f t="shared" si="12"/>
        <v>0</v>
      </c>
      <c r="U113" s="152"/>
    </row>
    <row r="114" spans="9:21" ht="12.75">
      <c r="I114" s="47">
        <v>7</v>
      </c>
      <c r="J114" s="47">
        <f t="shared" si="8"/>
        <v>12</v>
      </c>
      <c r="K114" s="47" t="str">
        <f ca="1">IF(Wis&gt;=10+I114,OFFSET(Spells!A$51,Begin!I$34+1,I114+1)," - ")</f>
        <v> - </v>
      </c>
      <c r="L114" s="47" t="str">
        <f t="shared" si="10"/>
        <v> - </v>
      </c>
      <c r="M114" s="152" t="str">
        <f t="shared" si="9"/>
        <v>0</v>
      </c>
      <c r="N114" s="152"/>
      <c r="P114" s="47">
        <v>7</v>
      </c>
      <c r="Q114" s="47">
        <f t="shared" si="4"/>
        <v>12</v>
      </c>
      <c r="R114" s="47" t="str">
        <f ca="1">IF(Wis&gt;=10+P114,OFFSET(Spells!A$51,Begin!C$47+1,P114+1)," - ")</f>
        <v> - </v>
      </c>
      <c r="S114" s="47" t="str">
        <f t="shared" si="11"/>
        <v> - </v>
      </c>
      <c r="T114" s="152">
        <f t="shared" si="12"/>
        <v>0</v>
      </c>
      <c r="U114" s="152"/>
    </row>
    <row r="115" spans="1:21" ht="12.75">
      <c r="A115" s="232" t="s">
        <v>348</v>
      </c>
      <c r="B115" s="233"/>
      <c r="C115" s="233"/>
      <c r="D115" s="233"/>
      <c r="E115" s="233"/>
      <c r="F115" s="234"/>
      <c r="I115" s="47">
        <v>8</v>
      </c>
      <c r="J115" s="47">
        <f t="shared" si="8"/>
        <v>13</v>
      </c>
      <c r="K115" s="47" t="str">
        <f ca="1">IF(Wis&gt;=10+I115,OFFSET(Spells!A$51,Begin!I$34+1,I115+1)," - ")</f>
        <v> - </v>
      </c>
      <c r="L115" s="47" t="str">
        <f t="shared" si="10"/>
        <v> - </v>
      </c>
      <c r="M115" s="152" t="str">
        <f t="shared" si="9"/>
        <v>0</v>
      </c>
      <c r="N115" s="152"/>
      <c r="P115" s="47">
        <v>8</v>
      </c>
      <c r="Q115" s="47">
        <f t="shared" si="4"/>
        <v>13</v>
      </c>
      <c r="R115" s="47" t="str">
        <f ca="1">IF(Wis&gt;=10+P115,OFFSET(Spells!A$51,Begin!C$47+1,P115+1)," - ")</f>
        <v> - </v>
      </c>
      <c r="S115" s="47" t="str">
        <f t="shared" si="11"/>
        <v> - </v>
      </c>
      <c r="T115" s="152">
        <f t="shared" si="12"/>
        <v>0</v>
      </c>
      <c r="U115" s="152"/>
    </row>
    <row r="116" spans="1:21" ht="12.75">
      <c r="A116" s="37" t="s">
        <v>340</v>
      </c>
      <c r="B116" s="38" t="s">
        <v>341</v>
      </c>
      <c r="C116" s="38" t="s">
        <v>343</v>
      </c>
      <c r="D116" s="38" t="s">
        <v>344</v>
      </c>
      <c r="E116" s="191" t="s">
        <v>345</v>
      </c>
      <c r="F116" s="228"/>
      <c r="I116" s="47">
        <v>9</v>
      </c>
      <c r="J116" s="47">
        <f t="shared" si="8"/>
        <v>14</v>
      </c>
      <c r="K116" s="47" t="str">
        <f ca="1">IF(Wis&gt;=10+I116,OFFSET(Spells!A$51,Begin!I$34+1,I116+1)," - ")</f>
        <v> - </v>
      </c>
      <c r="L116" s="47" t="str">
        <f t="shared" si="10"/>
        <v> - </v>
      </c>
      <c r="M116" s="152" t="str">
        <f t="shared" si="9"/>
        <v>0</v>
      </c>
      <c r="N116" s="152"/>
      <c r="P116" s="47">
        <v>9</v>
      </c>
      <c r="Q116" s="47">
        <f t="shared" si="4"/>
        <v>14</v>
      </c>
      <c r="R116" s="47" t="str">
        <f ca="1">IF(Wis&gt;=10+P116,OFFSET(Spells!A$51,Begin!C$47+1,P116+1)," - ")</f>
        <v> - </v>
      </c>
      <c r="S116" s="47" t="str">
        <f t="shared" si="11"/>
        <v> - </v>
      </c>
      <c r="T116" s="152">
        <f t="shared" si="12"/>
        <v>0</v>
      </c>
      <c r="U116" s="152"/>
    </row>
    <row r="117" spans="1:6" ht="12.75">
      <c r="A117" s="47">
        <v>1</v>
      </c>
      <c r="B117" s="47">
        <f>10+A117+WisMod</f>
        <v>6</v>
      </c>
      <c r="C117" s="47" t="str">
        <f ca="1">IF(Wis&gt;=10+A117,OFFSET(Spells!A$75,Begin!C$65+1,A117)," - ")</f>
        <v> - </v>
      </c>
      <c r="D117" s="47" t="str">
        <f>IF(C117=" - "," - ",MAX(0,TRUNC((WisMod-A117+4)/4)))</f>
        <v> - </v>
      </c>
      <c r="E117" s="152">
        <f>SUM(C117:D117)</f>
        <v>0</v>
      </c>
      <c r="F117" s="152"/>
    </row>
    <row r="118" spans="1:22" ht="12.75">
      <c r="A118" s="47">
        <v>2</v>
      </c>
      <c r="B118" s="47">
        <f>10+A118+WisMod</f>
        <v>7</v>
      </c>
      <c r="C118" s="47" t="str">
        <f ca="1">IF(Wis&gt;=10+A118,OFFSET(Spells!A$75,Begin!C$65+1,A118)," - ")</f>
        <v> - </v>
      </c>
      <c r="D118" s="47" t="str">
        <f>IF(C118=" - "," - ",MAX(0,TRUNC((WisMod-A118+4)/4)))</f>
        <v> - </v>
      </c>
      <c r="E118" s="152">
        <f>SUM(C118:D118)</f>
        <v>0</v>
      </c>
      <c r="F118" s="152"/>
      <c r="I118" s="157" t="s">
        <v>350</v>
      </c>
      <c r="J118" s="158"/>
      <c r="K118" s="158"/>
      <c r="L118" s="158"/>
      <c r="M118" s="158"/>
      <c r="N118" s="158"/>
      <c r="O118" s="159"/>
      <c r="Q118" s="232" t="s">
        <v>351</v>
      </c>
      <c r="R118" s="233"/>
      <c r="S118" s="233"/>
      <c r="T118" s="233"/>
      <c r="U118" s="233"/>
      <c r="V118" s="234"/>
    </row>
    <row r="119" spans="1:22" ht="12.75">
      <c r="A119" s="47">
        <v>3</v>
      </c>
      <c r="B119" s="47">
        <f>10+A119+WisMod</f>
        <v>8</v>
      </c>
      <c r="C119" s="47" t="str">
        <f ca="1">IF(Wis&gt;=10+A119,OFFSET(Spells!A$75,Begin!C$65+1,A119)," - ")</f>
        <v> - </v>
      </c>
      <c r="D119" s="47" t="str">
        <f>IF(C119=" - "," - ",MAX(0,TRUNC((WisMod-A119+4)/4)))</f>
        <v> - </v>
      </c>
      <c r="E119" s="152">
        <f>SUM(C119:D119)</f>
        <v>0</v>
      </c>
      <c r="F119" s="152"/>
      <c r="I119" s="37" t="s">
        <v>340</v>
      </c>
      <c r="J119" s="38" t="s">
        <v>342</v>
      </c>
      <c r="K119" s="38" t="s">
        <v>341</v>
      </c>
      <c r="L119" s="38" t="s">
        <v>343</v>
      </c>
      <c r="M119" s="38" t="s">
        <v>344</v>
      </c>
      <c r="N119" s="191" t="s">
        <v>345</v>
      </c>
      <c r="O119" s="228"/>
      <c r="Q119" s="37" t="s">
        <v>340</v>
      </c>
      <c r="R119" s="38" t="s">
        <v>341</v>
      </c>
      <c r="S119" s="38" t="s">
        <v>343</v>
      </c>
      <c r="T119" s="38" t="s">
        <v>344</v>
      </c>
      <c r="U119" s="191" t="s">
        <v>345</v>
      </c>
      <c r="V119" s="228"/>
    </row>
    <row r="120" spans="1:22" ht="12.75">
      <c r="A120" s="47">
        <v>4</v>
      </c>
      <c r="B120" s="47">
        <f>10+A120+WisMod</f>
        <v>9</v>
      </c>
      <c r="C120" s="47" t="str">
        <f ca="1">IF(Wis&gt;=10+A120,OFFSET(Spells!A$75,Begin!C$65+1,A120)," - ")</f>
        <v> - </v>
      </c>
      <c r="D120" s="47" t="str">
        <f>IF(C120=" - "," - ",MAX(0,TRUNC((WisMod-A120+4)/4)))</f>
        <v> - </v>
      </c>
      <c r="E120" s="152">
        <f>SUM(C120:D120)</f>
        <v>0</v>
      </c>
      <c r="F120" s="152"/>
      <c r="I120" s="47">
        <v>0</v>
      </c>
      <c r="J120" s="47" t="str">
        <f ca="1">IF(Cha&gt;=10+I120,OFFSET(Spells!M$27,Begin!C$77+1,I120+1)," - ")</f>
        <v> - </v>
      </c>
      <c r="K120" s="47">
        <f>10+I120+ChaMod</f>
        <v>5</v>
      </c>
      <c r="L120" s="47" t="str">
        <f ca="1">IF(Cha&gt;=10+I120,OFFSET(Spells!A$27,Begin!C$77+1,I120+1)," - ")</f>
        <v> - </v>
      </c>
      <c r="M120" s="47" t="s">
        <v>476</v>
      </c>
      <c r="N120" s="152">
        <f aca="true" t="shared" si="13" ref="N120:N129">SUM(L120:M120)</f>
        <v>0</v>
      </c>
      <c r="O120" s="152"/>
      <c r="Q120" s="47">
        <v>0</v>
      </c>
      <c r="R120" s="47">
        <f>10+Q120+IntMod</f>
        <v>5</v>
      </c>
      <c r="S120" s="47" t="str">
        <f ca="1">IF(Int&gt;=10+Q120,OFFSET(Spells!A$3,Begin!I$77+1,Q120+1)," - ")</f>
        <v> - </v>
      </c>
      <c r="T120" s="47" t="s">
        <v>476</v>
      </c>
      <c r="U120" s="152" t="str">
        <f>SUM(S120:T120)&amp;IF(OR(ISBLANK(Begin!I78),SUM(S120:T120)=0),"","+1")</f>
        <v>0</v>
      </c>
      <c r="V120" s="152"/>
    </row>
    <row r="121" spans="9:22" ht="12.75">
      <c r="I121" s="47">
        <v>1</v>
      </c>
      <c r="J121" s="47" t="str">
        <f ca="1">IF(Cha&gt;=10+I121,OFFSET(Spells!M$27,Begin!C$77+1,I121+1)," - ")</f>
        <v> - </v>
      </c>
      <c r="K121" s="47">
        <f aca="true" t="shared" si="14" ref="K121:K129">10+I121+ChaMod</f>
        <v>6</v>
      </c>
      <c r="L121" s="47" t="str">
        <f ca="1">IF(Cha&gt;=10+I121,OFFSET(Spells!A$27,Begin!C$77+1,I121+1)," - ")</f>
        <v> - </v>
      </c>
      <c r="M121" s="47" t="str">
        <f aca="true" t="shared" si="15" ref="M121:M129">IF(L121=" - "," - ",MAX(0,TRUNC((ChaMod-I121+4)/4)))</f>
        <v> - </v>
      </c>
      <c r="N121" s="152">
        <f t="shared" si="13"/>
        <v>0</v>
      </c>
      <c r="O121" s="152"/>
      <c r="Q121" s="47">
        <v>1</v>
      </c>
      <c r="R121" s="47">
        <f aca="true" t="shared" si="16" ref="R121:R129">10+Q121+IntMod</f>
        <v>6</v>
      </c>
      <c r="S121" s="47" t="str">
        <f ca="1">IF(Int&gt;=10+Q121,OFFSET(Spells!A$3,Begin!I$77+1,Q121+1)," - ")</f>
        <v> - </v>
      </c>
      <c r="T121" s="47" t="str">
        <f>IF(S121=" - "," - ",MAX(0,TRUNC((IntMod-Q121+4)/4)))</f>
        <v> - </v>
      </c>
      <c r="U121" s="152" t="str">
        <f>SUM(S121:T121)&amp;IF(OR(ISBLANK(Begin!I79),SUM(S121:T121)=0),"","+1")</f>
        <v>0</v>
      </c>
      <c r="V121" s="152"/>
    </row>
    <row r="122" spans="1:22" ht="12.75">
      <c r="A122" s="232" t="s">
        <v>349</v>
      </c>
      <c r="B122" s="233"/>
      <c r="C122" s="233"/>
      <c r="D122" s="233"/>
      <c r="E122" s="233"/>
      <c r="F122" s="234"/>
      <c r="I122" s="47">
        <v>2</v>
      </c>
      <c r="J122" s="47" t="str">
        <f ca="1">IF(Cha&gt;=10+I122,OFFSET(Spells!M$27,Begin!C$77+1,I122+1)," - ")</f>
        <v> - </v>
      </c>
      <c r="K122" s="47">
        <f t="shared" si="14"/>
        <v>7</v>
      </c>
      <c r="L122" s="47" t="str">
        <f ca="1">IF(Cha&gt;=10+I122,OFFSET(Spells!A$27,Begin!C$77+1,I122+1)," - ")</f>
        <v> - </v>
      </c>
      <c r="M122" s="47" t="str">
        <f t="shared" si="15"/>
        <v> - </v>
      </c>
      <c r="N122" s="152">
        <f t="shared" si="13"/>
        <v>0</v>
      </c>
      <c r="O122" s="152"/>
      <c r="Q122" s="47">
        <v>2</v>
      </c>
      <c r="R122" s="47">
        <f t="shared" si="16"/>
        <v>7</v>
      </c>
      <c r="S122" s="47" t="str">
        <f ca="1">IF(Int&gt;=10+Q122,OFFSET(Spells!A$3,Begin!I$77+1,Q122+1)," - ")</f>
        <v> - </v>
      </c>
      <c r="T122" s="47" t="str">
        <f aca="true" t="shared" si="17" ref="T122:T129">IF(S122=" - "," - ",MAX(0,TRUNC((IntMod-Q122+4)/4)))</f>
        <v> - </v>
      </c>
      <c r="U122" s="152" t="str">
        <f>SUM(S122:T122)&amp;IF(OR(ISBLANK(Begin!I80),SUM(S122:T122)=0),"","+1")</f>
        <v>0</v>
      </c>
      <c r="V122" s="152"/>
    </row>
    <row r="123" spans="1:22" ht="12.75">
      <c r="A123" s="37" t="s">
        <v>340</v>
      </c>
      <c r="B123" s="38" t="s">
        <v>341</v>
      </c>
      <c r="C123" s="38" t="s">
        <v>343</v>
      </c>
      <c r="D123" s="38" t="s">
        <v>344</v>
      </c>
      <c r="E123" s="191" t="s">
        <v>345</v>
      </c>
      <c r="F123" s="228"/>
      <c r="I123" s="47">
        <v>3</v>
      </c>
      <c r="J123" s="47" t="str">
        <f ca="1">IF(Cha&gt;=10+I123,OFFSET(Spells!M$27,Begin!C$77+1,I123+1)," - ")</f>
        <v> - </v>
      </c>
      <c r="K123" s="47">
        <f t="shared" si="14"/>
        <v>8</v>
      </c>
      <c r="L123" s="47" t="str">
        <f ca="1">IF(Cha&gt;=10+I123,OFFSET(Spells!A$27,Begin!C$77+1,I123+1)," - ")</f>
        <v> - </v>
      </c>
      <c r="M123" s="47" t="str">
        <f t="shared" si="15"/>
        <v> - </v>
      </c>
      <c r="N123" s="152">
        <f t="shared" si="13"/>
        <v>0</v>
      </c>
      <c r="O123" s="152"/>
      <c r="Q123" s="47">
        <v>3</v>
      </c>
      <c r="R123" s="47">
        <f t="shared" si="16"/>
        <v>8</v>
      </c>
      <c r="S123" s="47" t="str">
        <f ca="1">IF(Int&gt;=10+Q123,OFFSET(Spells!A$3,Begin!I$77+1,Q123+1)," - ")</f>
        <v> - </v>
      </c>
      <c r="T123" s="47" t="str">
        <f t="shared" si="17"/>
        <v> - </v>
      </c>
      <c r="U123" s="152" t="str">
        <f>SUM(S123:T123)&amp;IF(OR(ISBLANK(Begin!I81),SUM(S123:T123)=0),"","+1")</f>
        <v>0</v>
      </c>
      <c r="V123" s="152"/>
    </row>
    <row r="124" spans="1:22" ht="12.75">
      <c r="A124" s="47">
        <v>1</v>
      </c>
      <c r="B124" s="47">
        <f>10+A124+WisMod</f>
        <v>6</v>
      </c>
      <c r="C124" s="47" t="str">
        <f ca="1">IF(Wis&gt;=10+A124,OFFSET(Spells!A$75,Begin!F$65+1,A124)," - ")</f>
        <v> - </v>
      </c>
      <c r="D124" s="47" t="str">
        <f>IF(C124=" - "," - ",MAX(0,TRUNC((WisMod-A124+4)/4)))</f>
        <v> - </v>
      </c>
      <c r="E124" s="152">
        <f>SUM(C124:D124)</f>
        <v>0</v>
      </c>
      <c r="F124" s="152"/>
      <c r="I124" s="47">
        <v>4</v>
      </c>
      <c r="J124" s="47" t="str">
        <f ca="1">IF(Cha&gt;=10+I124,OFFSET(Spells!M$27,Begin!C$77+1,I124+1)," - ")</f>
        <v> - </v>
      </c>
      <c r="K124" s="47">
        <f t="shared" si="14"/>
        <v>9</v>
      </c>
      <c r="L124" s="47" t="str">
        <f ca="1">IF(Cha&gt;=10+I124,OFFSET(Spells!A$27,Begin!C$77+1,I124+1)," - ")</f>
        <v> - </v>
      </c>
      <c r="M124" s="47" t="str">
        <f t="shared" si="15"/>
        <v> - </v>
      </c>
      <c r="N124" s="152">
        <f t="shared" si="13"/>
        <v>0</v>
      </c>
      <c r="O124" s="152"/>
      <c r="Q124" s="47">
        <v>4</v>
      </c>
      <c r="R124" s="47">
        <f t="shared" si="16"/>
        <v>9</v>
      </c>
      <c r="S124" s="47" t="str">
        <f ca="1">IF(Int&gt;=10+Q124,OFFSET(Spells!A$3,Begin!I$77+1,Q124+1)," - ")</f>
        <v> - </v>
      </c>
      <c r="T124" s="47" t="str">
        <f t="shared" si="17"/>
        <v> - </v>
      </c>
      <c r="U124" s="152" t="str">
        <f>SUM(S124:T124)&amp;IF(OR(ISBLANK(Begin!I82),SUM(S124:T124)=0),"","+1")</f>
        <v>0</v>
      </c>
      <c r="V124" s="152"/>
    </row>
    <row r="125" spans="1:22" ht="12.75">
      <c r="A125" s="47">
        <v>2</v>
      </c>
      <c r="B125" s="47">
        <f>10+A125+WisMod</f>
        <v>7</v>
      </c>
      <c r="C125" s="47" t="str">
        <f ca="1">IF(Wis&gt;=10+A125,OFFSET(Spells!A$75,Begin!F$65+1,A125)," - ")</f>
        <v> - </v>
      </c>
      <c r="D125" s="47" t="str">
        <f>IF(C125=" - "," - ",MAX(0,TRUNC((WisMod-A125+4)/4)))</f>
        <v> - </v>
      </c>
      <c r="E125" s="152">
        <f>SUM(C125:D125)</f>
        <v>0</v>
      </c>
      <c r="F125" s="152"/>
      <c r="I125" s="47">
        <v>5</v>
      </c>
      <c r="J125" s="47" t="str">
        <f ca="1">IF(Cha&gt;=10+I125,OFFSET(Spells!M$27,Begin!C$77+1,I125+1)," - ")</f>
        <v> - </v>
      </c>
      <c r="K125" s="47">
        <f t="shared" si="14"/>
        <v>10</v>
      </c>
      <c r="L125" s="47" t="str">
        <f ca="1">IF(Cha&gt;=10+I125,OFFSET(Spells!A$27,Begin!C$77+1,I125+1)," - ")</f>
        <v> - </v>
      </c>
      <c r="M125" s="47" t="str">
        <f t="shared" si="15"/>
        <v> - </v>
      </c>
      <c r="N125" s="152">
        <f t="shared" si="13"/>
        <v>0</v>
      </c>
      <c r="O125" s="152"/>
      <c r="Q125" s="47">
        <v>5</v>
      </c>
      <c r="R125" s="47">
        <f t="shared" si="16"/>
        <v>10</v>
      </c>
      <c r="S125" s="47" t="str">
        <f ca="1">IF(Int&gt;=10+Q125,OFFSET(Spells!A$3,Begin!I$77+1,Q125+1)," - ")</f>
        <v> - </v>
      </c>
      <c r="T125" s="47" t="str">
        <f t="shared" si="17"/>
        <v> - </v>
      </c>
      <c r="U125" s="152" t="str">
        <f>SUM(S125:T125)&amp;IF(OR(ISBLANK(Begin!I83),SUM(S125:T125)=0),"","+1")</f>
        <v>0</v>
      </c>
      <c r="V125" s="152"/>
    </row>
    <row r="126" spans="1:22" ht="12.75">
      <c r="A126" s="47">
        <v>3</v>
      </c>
      <c r="B126" s="47">
        <f>10+A126+WisMod</f>
        <v>8</v>
      </c>
      <c r="C126" s="47" t="str">
        <f ca="1">IF(Wis&gt;=10+A126,OFFSET(Spells!A$75,Begin!F$65+1,A126)," - ")</f>
        <v> - </v>
      </c>
      <c r="D126" s="47" t="str">
        <f>IF(C126=" - "," - ",MAX(0,TRUNC((WisMod-A126+4)/4)))</f>
        <v> - </v>
      </c>
      <c r="E126" s="152">
        <f>SUM(C126:D126)</f>
        <v>0</v>
      </c>
      <c r="F126" s="152"/>
      <c r="I126" s="47">
        <v>6</v>
      </c>
      <c r="J126" s="47" t="str">
        <f ca="1">IF(Cha&gt;=10+I126,OFFSET(Spells!M$27,Begin!C$77+1,I126+1)," - ")</f>
        <v> - </v>
      </c>
      <c r="K126" s="47">
        <f t="shared" si="14"/>
        <v>11</v>
      </c>
      <c r="L126" s="47" t="str">
        <f ca="1">IF(Cha&gt;=10+I126,OFFSET(Spells!A$27,Begin!C$77+1,I126+1)," - ")</f>
        <v> - </v>
      </c>
      <c r="M126" s="47" t="str">
        <f t="shared" si="15"/>
        <v> - </v>
      </c>
      <c r="N126" s="152">
        <f t="shared" si="13"/>
        <v>0</v>
      </c>
      <c r="O126" s="152"/>
      <c r="Q126" s="47">
        <v>6</v>
      </c>
      <c r="R126" s="47">
        <f t="shared" si="16"/>
        <v>11</v>
      </c>
      <c r="S126" s="47" t="str">
        <f ca="1">IF(Int&gt;=10+Q126,OFFSET(Spells!A$3,Begin!I$77+1,Q126+1)," - ")</f>
        <v> - </v>
      </c>
      <c r="T126" s="47" t="str">
        <f t="shared" si="17"/>
        <v> - </v>
      </c>
      <c r="U126" s="152" t="str">
        <f>SUM(S126:T126)&amp;IF(OR(ISBLANK(Begin!I84),SUM(S126:T126)=0),"","+1")</f>
        <v>0</v>
      </c>
      <c r="V126" s="152"/>
    </row>
    <row r="127" spans="1:22" ht="12.75">
      <c r="A127" s="47">
        <v>4</v>
      </c>
      <c r="B127" s="47">
        <f>10+A127+WisMod</f>
        <v>9</v>
      </c>
      <c r="C127" s="47" t="str">
        <f ca="1">IF(Wis&gt;=10+A127,OFFSET(Spells!A$75,Begin!F$65+1,A127)," - ")</f>
        <v> - </v>
      </c>
      <c r="D127" s="47" t="str">
        <f>IF(C127=" - "," - ",MAX(0,TRUNC((WisMod-A127+4)/4)))</f>
        <v> - </v>
      </c>
      <c r="E127" s="152">
        <f>SUM(C127:D127)</f>
        <v>0</v>
      </c>
      <c r="F127" s="152"/>
      <c r="I127" s="47">
        <v>7</v>
      </c>
      <c r="J127" s="47" t="str">
        <f ca="1">IF(Cha&gt;=10+I127,OFFSET(Spells!M$27,Begin!C$77+1,I127+1)," - ")</f>
        <v> - </v>
      </c>
      <c r="K127" s="47">
        <f t="shared" si="14"/>
        <v>12</v>
      </c>
      <c r="L127" s="47" t="str">
        <f ca="1">IF(Cha&gt;=10+I127,OFFSET(Spells!A$27,Begin!C$77+1,I127+1)," - ")</f>
        <v> - </v>
      </c>
      <c r="M127" s="47" t="str">
        <f t="shared" si="15"/>
        <v> - </v>
      </c>
      <c r="N127" s="152">
        <f t="shared" si="13"/>
        <v>0</v>
      </c>
      <c r="O127" s="152"/>
      <c r="Q127" s="47">
        <v>7</v>
      </c>
      <c r="R127" s="47">
        <f t="shared" si="16"/>
        <v>12</v>
      </c>
      <c r="S127" s="47" t="str">
        <f ca="1">IF(Int&gt;=10+Q127,OFFSET(Spells!A$3,Begin!I$77+1,Q127+1)," - ")</f>
        <v> - </v>
      </c>
      <c r="T127" s="47" t="str">
        <f t="shared" si="17"/>
        <v> - </v>
      </c>
      <c r="U127" s="152" t="str">
        <f>SUM(S127:T127)&amp;IF(OR(ISBLANK(Begin!I85),SUM(S127:T127)=0),"","+1")</f>
        <v>0</v>
      </c>
      <c r="V127" s="152"/>
    </row>
    <row r="128" spans="9:22" ht="12.75">
      <c r="I128" s="47">
        <v>8</v>
      </c>
      <c r="J128" s="47" t="str">
        <f ca="1">IF(Cha&gt;=10+I128,OFFSET(Spells!M$27,Begin!C$77+1,I128+1)," - ")</f>
        <v> - </v>
      </c>
      <c r="K128" s="47">
        <f t="shared" si="14"/>
        <v>13</v>
      </c>
      <c r="L128" s="47" t="str">
        <f ca="1">IF(Cha&gt;=10+I128,OFFSET(Spells!A$27,Begin!C$77+1,I128+1)," - ")</f>
        <v> - </v>
      </c>
      <c r="M128" s="47" t="str">
        <f t="shared" si="15"/>
        <v> - </v>
      </c>
      <c r="N128" s="152">
        <f t="shared" si="13"/>
        <v>0</v>
      </c>
      <c r="O128" s="152"/>
      <c r="Q128" s="47">
        <v>8</v>
      </c>
      <c r="R128" s="47">
        <f t="shared" si="16"/>
        <v>13</v>
      </c>
      <c r="S128" s="47" t="str">
        <f ca="1">IF(Int&gt;=10+Q128,OFFSET(Spells!A$3,Begin!I$77+1,Q128+1)," - ")</f>
        <v> - </v>
      </c>
      <c r="T128" s="47" t="str">
        <f t="shared" si="17"/>
        <v> - </v>
      </c>
      <c r="U128" s="152" t="str">
        <f>SUM(S128:T128)&amp;IF(OR(ISBLANK(Begin!I86),SUM(S128:T128)=0),"","+1")</f>
        <v>0</v>
      </c>
      <c r="V128" s="152"/>
    </row>
    <row r="129" spans="1:22" ht="12.75">
      <c r="A129" s="232" t="s">
        <v>352</v>
      </c>
      <c r="B129" s="233"/>
      <c r="C129" s="233"/>
      <c r="D129" s="233"/>
      <c r="E129" s="233"/>
      <c r="F129" s="234"/>
      <c r="I129" s="47">
        <v>9</v>
      </c>
      <c r="J129" s="47" t="str">
        <f ca="1">IF(Cha&gt;=10+I129,OFFSET(Spells!M$27,Begin!C$77+1,I129+1)," - ")</f>
        <v> - </v>
      </c>
      <c r="K129" s="47">
        <f t="shared" si="14"/>
        <v>14</v>
      </c>
      <c r="L129" s="47" t="str">
        <f ca="1">IF(Cha&gt;=10+I129,OFFSET(Spells!A$27,Begin!C$77+1,I129+1)," - ")</f>
        <v> - </v>
      </c>
      <c r="M129" s="47" t="str">
        <f t="shared" si="15"/>
        <v> - </v>
      </c>
      <c r="N129" s="152">
        <f t="shared" si="13"/>
        <v>0</v>
      </c>
      <c r="O129" s="152"/>
      <c r="Q129" s="47">
        <v>9</v>
      </c>
      <c r="R129" s="47">
        <f t="shared" si="16"/>
        <v>14</v>
      </c>
      <c r="S129" s="47" t="str">
        <f ca="1">IF(Int&gt;=10+Q129,OFFSET(Spells!A$3,Begin!I$77+1,Q129+1)," - ")</f>
        <v> - </v>
      </c>
      <c r="T129" s="47" t="str">
        <f t="shared" si="17"/>
        <v> - </v>
      </c>
      <c r="U129" s="152" t="str">
        <f>SUM(S129:T129)&amp;IF(OR(ISBLANK(Begin!I87),SUM(S129:T129)=0),"","+1")</f>
        <v>0</v>
      </c>
      <c r="V129" s="152"/>
    </row>
    <row r="130" spans="1:23" ht="12.75">
      <c r="A130" s="37" t="s">
        <v>340</v>
      </c>
      <c r="B130" s="38" t="s">
        <v>341</v>
      </c>
      <c r="C130" s="38" t="s">
        <v>343</v>
      </c>
      <c r="D130" s="38" t="s">
        <v>344</v>
      </c>
      <c r="E130" s="191" t="s">
        <v>345</v>
      </c>
      <c r="F130" s="228"/>
      <c r="P130" s="191">
        <f>IF(ISBLANK(Begin!I78),"","Specialist wizards cast extra spells in their chosen school")</f>
      </c>
      <c r="Q130" s="191"/>
      <c r="R130" s="191"/>
      <c r="S130" s="191"/>
      <c r="T130" s="191"/>
      <c r="U130" s="191"/>
      <c r="V130" s="191"/>
      <c r="W130" s="191"/>
    </row>
    <row r="131" spans="1:23" ht="12.75">
      <c r="A131" s="47">
        <v>0</v>
      </c>
      <c r="B131" s="47">
        <f aca="true" t="shared" si="18" ref="B131:B136">10+A131+WisMod</f>
        <v>5</v>
      </c>
      <c r="C131" s="47" t="str">
        <f ca="1">IF(Wis&gt;=10+A131,OFFSET(Spells!A$123,Begin!C$82+1,A131+1)," - ")</f>
        <v> - </v>
      </c>
      <c r="D131" s="47" t="s">
        <v>476</v>
      </c>
      <c r="E131" s="152">
        <f aca="true" t="shared" si="19" ref="E131:E136">SUM(C131:D131)</f>
        <v>0</v>
      </c>
      <c r="F131" s="152"/>
      <c r="I131" s="3" t="s">
        <v>340</v>
      </c>
      <c r="J131" s="140" t="s">
        <v>353</v>
      </c>
      <c r="K131" s="140"/>
      <c r="L131" s="140"/>
      <c r="M131" s="140"/>
      <c r="N131" s="140"/>
      <c r="O131" s="140"/>
      <c r="P131" s="140"/>
      <c r="Q131" s="140"/>
      <c r="R131" s="140"/>
      <c r="S131" s="140"/>
      <c r="T131" s="140"/>
      <c r="U131" s="140"/>
      <c r="V131" s="140"/>
      <c r="W131" s="140"/>
    </row>
    <row r="132" spans="1:23" ht="12.75">
      <c r="A132" s="47">
        <v>1</v>
      </c>
      <c r="B132" s="47">
        <f t="shared" si="18"/>
        <v>6</v>
      </c>
      <c r="C132" s="47" t="str">
        <f ca="1">IF(Wis&gt;=10+A132,OFFSET(Spells!A$123,Begin!C$82+1,A132+1)," - ")</f>
        <v> - </v>
      </c>
      <c r="D132" s="47" t="str">
        <f>IF(C132=" - "," - ",MAX(0,TRUNC((WisMod-A132+4)/4)))</f>
        <v> - </v>
      </c>
      <c r="E132" s="152">
        <f t="shared" si="19"/>
        <v>0</v>
      </c>
      <c r="F132" s="152"/>
      <c r="I132" s="173">
        <v>0</v>
      </c>
      <c r="J132" s="161"/>
      <c r="K132" s="161"/>
      <c r="L132" s="161"/>
      <c r="M132" s="161"/>
      <c r="N132" s="161"/>
      <c r="O132" s="161"/>
      <c r="P132" s="161"/>
      <c r="Q132" s="161"/>
      <c r="R132" s="161"/>
      <c r="S132" s="161"/>
      <c r="T132" s="161"/>
      <c r="U132" s="161"/>
      <c r="V132" s="161"/>
      <c r="W132" s="161"/>
    </row>
    <row r="133" spans="1:23" ht="12.75">
      <c r="A133" s="47">
        <v>2</v>
      </c>
      <c r="B133" s="47">
        <f t="shared" si="18"/>
        <v>7</v>
      </c>
      <c r="C133" s="47" t="str">
        <f ca="1">IF(Wis&gt;=10+A133,OFFSET(Spells!A$123,Begin!C$82+1,A133+1)," - ")</f>
        <v> - </v>
      </c>
      <c r="D133" s="47" t="str">
        <f>IF(C133=" - "," - ",MAX(0,TRUNC((WisMod-A133+4)/4)))</f>
        <v> - </v>
      </c>
      <c r="E133" s="152">
        <f t="shared" si="19"/>
        <v>0</v>
      </c>
      <c r="F133" s="152"/>
      <c r="I133" s="173"/>
      <c r="J133" s="161"/>
      <c r="K133" s="161"/>
      <c r="L133" s="161"/>
      <c r="M133" s="161"/>
      <c r="N133" s="161"/>
      <c r="O133" s="161"/>
      <c r="P133" s="161"/>
      <c r="Q133" s="161"/>
      <c r="R133" s="161"/>
      <c r="S133" s="161"/>
      <c r="T133" s="161"/>
      <c r="U133" s="161"/>
      <c r="V133" s="161"/>
      <c r="W133" s="161"/>
    </row>
    <row r="134" spans="1:23" ht="12.75">
      <c r="A134" s="47">
        <v>3</v>
      </c>
      <c r="B134" s="47">
        <f t="shared" si="18"/>
        <v>8</v>
      </c>
      <c r="C134" s="47" t="str">
        <f ca="1">IF(Wis&gt;=10+A134,OFFSET(Spells!A$123,Begin!C$82+1,A134+1)," - ")</f>
        <v> - </v>
      </c>
      <c r="D134" s="47" t="str">
        <f>IF(C134=" - "," - ",MAX(0,TRUNC((WisMod-A134+4)/4)))</f>
        <v> - </v>
      </c>
      <c r="E134" s="152">
        <f t="shared" si="19"/>
        <v>0</v>
      </c>
      <c r="F134" s="152"/>
      <c r="I134" s="173">
        <v>1</v>
      </c>
      <c r="J134" s="161"/>
      <c r="K134" s="161"/>
      <c r="L134" s="161"/>
      <c r="M134" s="161"/>
      <c r="N134" s="161"/>
      <c r="O134" s="161"/>
      <c r="P134" s="161"/>
      <c r="Q134" s="161"/>
      <c r="R134" s="161"/>
      <c r="S134" s="161"/>
      <c r="T134" s="161"/>
      <c r="U134" s="161"/>
      <c r="V134" s="161"/>
      <c r="W134" s="161"/>
    </row>
    <row r="135" spans="1:23" ht="12.75">
      <c r="A135" s="47">
        <v>4</v>
      </c>
      <c r="B135" s="47">
        <f t="shared" si="18"/>
        <v>9</v>
      </c>
      <c r="C135" s="47" t="str">
        <f ca="1">IF(Wis&gt;=10+A135,OFFSET(Spells!A$123,Begin!C$82+1,A135+1)," - ")</f>
        <v> - </v>
      </c>
      <c r="D135" s="47" t="str">
        <f>IF(C135=" - "," - ",MAX(0,TRUNC((WisMod-A135+4)/4)))</f>
        <v> - </v>
      </c>
      <c r="E135" s="152">
        <f t="shared" si="19"/>
        <v>0</v>
      </c>
      <c r="F135" s="152"/>
      <c r="I135" s="173"/>
      <c r="J135" s="161"/>
      <c r="K135" s="161"/>
      <c r="L135" s="161"/>
      <c r="M135" s="161"/>
      <c r="N135" s="161"/>
      <c r="O135" s="161"/>
      <c r="P135" s="161"/>
      <c r="Q135" s="161"/>
      <c r="R135" s="161"/>
      <c r="S135" s="161"/>
      <c r="T135" s="161"/>
      <c r="U135" s="161"/>
      <c r="V135" s="161"/>
      <c r="W135" s="161"/>
    </row>
    <row r="136" spans="1:23" ht="12.75">
      <c r="A136" s="47">
        <v>5</v>
      </c>
      <c r="B136" s="47">
        <f t="shared" si="18"/>
        <v>10</v>
      </c>
      <c r="C136" s="47" t="str">
        <f ca="1">IF(Wis&gt;=10+A136,OFFSET(Spells!A$123,Begin!C$82+1,A136+1)," - ")</f>
        <v> - </v>
      </c>
      <c r="D136" s="47" t="str">
        <f>IF(C136=" - "," - ",MAX(0,TRUNC((WisMod-A136+4)/4)))</f>
        <v> - </v>
      </c>
      <c r="E136" s="152">
        <f t="shared" si="19"/>
        <v>0</v>
      </c>
      <c r="F136" s="152"/>
      <c r="I136" s="173">
        <v>2</v>
      </c>
      <c r="J136" s="161"/>
      <c r="K136" s="161"/>
      <c r="L136" s="161"/>
      <c r="M136" s="161"/>
      <c r="N136" s="161"/>
      <c r="O136" s="161"/>
      <c r="P136" s="161"/>
      <c r="Q136" s="161"/>
      <c r="R136" s="161"/>
      <c r="S136" s="161"/>
      <c r="T136" s="161"/>
      <c r="U136" s="161"/>
      <c r="V136" s="161"/>
      <c r="W136" s="161"/>
    </row>
    <row r="137" spans="9:23" ht="12.75">
      <c r="I137" s="173"/>
      <c r="J137" s="161"/>
      <c r="K137" s="161"/>
      <c r="L137" s="161"/>
      <c r="M137" s="161"/>
      <c r="N137" s="161"/>
      <c r="O137" s="161"/>
      <c r="P137" s="161"/>
      <c r="Q137" s="161"/>
      <c r="R137" s="161"/>
      <c r="S137" s="161"/>
      <c r="T137" s="161"/>
      <c r="U137" s="161"/>
      <c r="V137" s="161"/>
      <c r="W137" s="161"/>
    </row>
    <row r="138" spans="9:23" ht="12.75">
      <c r="I138" s="173">
        <v>3</v>
      </c>
      <c r="J138" s="161"/>
      <c r="K138" s="161"/>
      <c r="L138" s="161"/>
      <c r="M138" s="161"/>
      <c r="N138" s="161"/>
      <c r="O138" s="161"/>
      <c r="P138" s="161"/>
      <c r="Q138" s="161"/>
      <c r="R138" s="161"/>
      <c r="S138" s="161"/>
      <c r="T138" s="161"/>
      <c r="U138" s="161"/>
      <c r="V138" s="161"/>
      <c r="W138" s="161"/>
    </row>
    <row r="139" spans="9:23" ht="12.75">
      <c r="I139" s="173"/>
      <c r="J139" s="161"/>
      <c r="K139" s="161"/>
      <c r="L139" s="161"/>
      <c r="M139" s="161"/>
      <c r="N139" s="161"/>
      <c r="O139" s="161"/>
      <c r="P139" s="161"/>
      <c r="Q139" s="161"/>
      <c r="R139" s="161"/>
      <c r="S139" s="161"/>
      <c r="T139" s="161"/>
      <c r="U139" s="161"/>
      <c r="V139" s="161"/>
      <c r="W139" s="161"/>
    </row>
    <row r="140" spans="9:23" ht="12.75">
      <c r="I140" s="173">
        <v>4</v>
      </c>
      <c r="J140" s="161"/>
      <c r="K140" s="161"/>
      <c r="L140" s="161"/>
      <c r="M140" s="161"/>
      <c r="N140" s="161"/>
      <c r="O140" s="161"/>
      <c r="P140" s="161"/>
      <c r="Q140" s="161"/>
      <c r="R140" s="161"/>
      <c r="S140" s="161"/>
      <c r="T140" s="161"/>
      <c r="U140" s="161"/>
      <c r="V140" s="161"/>
      <c r="W140" s="161"/>
    </row>
    <row r="141" spans="9:23" ht="12.75">
      <c r="I141" s="173"/>
      <c r="J141" s="161"/>
      <c r="K141" s="161"/>
      <c r="L141" s="161"/>
      <c r="M141" s="161"/>
      <c r="N141" s="161"/>
      <c r="O141" s="161"/>
      <c r="P141" s="161"/>
      <c r="Q141" s="161"/>
      <c r="R141" s="161"/>
      <c r="S141" s="161"/>
      <c r="T141" s="161"/>
      <c r="U141" s="161"/>
      <c r="V141" s="161"/>
      <c r="W141" s="161"/>
    </row>
    <row r="142" spans="9:23" ht="12.75">
      <c r="I142" s="173">
        <v>5</v>
      </c>
      <c r="J142" s="161"/>
      <c r="K142" s="161"/>
      <c r="L142" s="161"/>
      <c r="M142" s="161"/>
      <c r="N142" s="161"/>
      <c r="O142" s="161"/>
      <c r="P142" s="161"/>
      <c r="Q142" s="161"/>
      <c r="R142" s="161"/>
      <c r="S142" s="161"/>
      <c r="T142" s="161"/>
      <c r="U142" s="161"/>
      <c r="V142" s="161"/>
      <c r="W142" s="161"/>
    </row>
    <row r="143" spans="9:23" ht="12.75">
      <c r="I143" s="173"/>
      <c r="J143" s="161"/>
      <c r="K143" s="161"/>
      <c r="L143" s="161"/>
      <c r="M143" s="161"/>
      <c r="N143" s="161"/>
      <c r="O143" s="161"/>
      <c r="P143" s="161"/>
      <c r="Q143" s="161"/>
      <c r="R143" s="161"/>
      <c r="S143" s="161"/>
      <c r="T143" s="161"/>
      <c r="U143" s="161"/>
      <c r="V143" s="161"/>
      <c r="W143" s="161"/>
    </row>
    <row r="144" spans="9:23" ht="12.75">
      <c r="I144" s="173">
        <v>6</v>
      </c>
      <c r="J144" s="161"/>
      <c r="K144" s="161"/>
      <c r="L144" s="161"/>
      <c r="M144" s="161"/>
      <c r="N144" s="161"/>
      <c r="O144" s="161"/>
      <c r="P144" s="161"/>
      <c r="Q144" s="161"/>
      <c r="R144" s="161"/>
      <c r="S144" s="161"/>
      <c r="T144" s="161"/>
      <c r="U144" s="161"/>
      <c r="V144" s="161"/>
      <c r="W144" s="161"/>
    </row>
    <row r="145" spans="9:23" ht="12.75">
      <c r="I145" s="173"/>
      <c r="J145" s="161"/>
      <c r="K145" s="161"/>
      <c r="L145" s="161"/>
      <c r="M145" s="161"/>
      <c r="N145" s="161"/>
      <c r="O145" s="161"/>
      <c r="P145" s="161"/>
      <c r="Q145" s="161"/>
      <c r="R145" s="161"/>
      <c r="S145" s="161"/>
      <c r="T145" s="161"/>
      <c r="U145" s="161"/>
      <c r="V145" s="161"/>
      <c r="W145" s="161"/>
    </row>
    <row r="146" spans="9:23" ht="12.75">
      <c r="I146" s="173">
        <v>7</v>
      </c>
      <c r="J146" s="161"/>
      <c r="K146" s="161"/>
      <c r="L146" s="161"/>
      <c r="M146" s="161"/>
      <c r="N146" s="161"/>
      <c r="O146" s="161"/>
      <c r="P146" s="161"/>
      <c r="Q146" s="161"/>
      <c r="R146" s="161"/>
      <c r="S146" s="161"/>
      <c r="T146" s="161"/>
      <c r="U146" s="161"/>
      <c r="V146" s="161"/>
      <c r="W146" s="161"/>
    </row>
    <row r="147" spans="9:23" ht="12.75">
      <c r="I147" s="173"/>
      <c r="J147" s="161"/>
      <c r="K147" s="161"/>
      <c r="L147" s="161"/>
      <c r="M147" s="161"/>
      <c r="N147" s="161"/>
      <c r="O147" s="161"/>
      <c r="P147" s="161"/>
      <c r="Q147" s="161"/>
      <c r="R147" s="161"/>
      <c r="S147" s="161"/>
      <c r="T147" s="161"/>
      <c r="U147" s="161"/>
      <c r="V147" s="161"/>
      <c r="W147" s="161"/>
    </row>
    <row r="148" spans="9:23" ht="12.75">
      <c r="I148" s="173">
        <v>8</v>
      </c>
      <c r="J148" s="161"/>
      <c r="K148" s="161"/>
      <c r="L148" s="161"/>
      <c r="M148" s="161"/>
      <c r="N148" s="161"/>
      <c r="O148" s="161"/>
      <c r="P148" s="161"/>
      <c r="Q148" s="161"/>
      <c r="R148" s="161"/>
      <c r="S148" s="161"/>
      <c r="T148" s="161"/>
      <c r="U148" s="161"/>
      <c r="V148" s="161"/>
      <c r="W148" s="161"/>
    </row>
    <row r="149" spans="9:23" ht="12.75">
      <c r="I149" s="173"/>
      <c r="J149" s="161"/>
      <c r="K149" s="161"/>
      <c r="L149" s="161"/>
      <c r="M149" s="161"/>
      <c r="N149" s="161"/>
      <c r="O149" s="161"/>
      <c r="P149" s="161"/>
      <c r="Q149" s="161"/>
      <c r="R149" s="161"/>
      <c r="S149" s="161"/>
      <c r="T149" s="161"/>
      <c r="U149" s="161"/>
      <c r="V149" s="161"/>
      <c r="W149" s="161"/>
    </row>
    <row r="150" spans="9:23" ht="12.75">
      <c r="I150" s="173">
        <v>9</v>
      </c>
      <c r="J150" s="161"/>
      <c r="K150" s="161"/>
      <c r="L150" s="161"/>
      <c r="M150" s="161"/>
      <c r="N150" s="161"/>
      <c r="O150" s="161"/>
      <c r="P150" s="161"/>
      <c r="Q150" s="161"/>
      <c r="R150" s="161"/>
      <c r="S150" s="161"/>
      <c r="T150" s="161"/>
      <c r="U150" s="161"/>
      <c r="V150" s="161"/>
      <c r="W150" s="161"/>
    </row>
    <row r="151" spans="9:23" ht="12.75">
      <c r="I151" s="173"/>
      <c r="J151" s="161"/>
      <c r="K151" s="161"/>
      <c r="L151" s="161"/>
      <c r="M151" s="161"/>
      <c r="N151" s="161"/>
      <c r="O151" s="161"/>
      <c r="P151" s="161"/>
      <c r="Q151" s="161"/>
      <c r="R151" s="161"/>
      <c r="S151" s="161"/>
      <c r="T151" s="161"/>
      <c r="U151" s="161"/>
      <c r="V151" s="161"/>
      <c r="W151" s="161"/>
    </row>
    <row r="152" ht="12.75">
      <c r="I152" s="140"/>
    </row>
    <row r="153" spans="9:23" ht="12.75">
      <c r="I153" s="140"/>
      <c r="S153" s="140" t="s">
        <v>848</v>
      </c>
      <c r="T153" s="140"/>
      <c r="U153" s="140"/>
      <c r="V153" s="140"/>
      <c r="W153" s="140"/>
    </row>
    <row r="154" spans="9:21" ht="12.75">
      <c r="I154" s="140"/>
      <c r="S154" s="147" t="s">
        <v>37</v>
      </c>
      <c r="T154" s="147"/>
      <c r="U154" s="3">
        <f>SUM(IF(OR(Gear!I14="Medium",Gear!I14="Heavy"),Gear!I12,0),Gear!I22)</f>
        <v>0</v>
      </c>
    </row>
    <row r="155" spans="9:21" ht="12.75">
      <c r="I155" s="140"/>
      <c r="S155" s="147" t="s">
        <v>333</v>
      </c>
      <c r="T155" s="147"/>
      <c r="U155" s="3">
        <f>SUM(Gear!I12,Gear!I22)</f>
        <v>0</v>
      </c>
    </row>
    <row r="157" spans="1:29" ht="12.75">
      <c r="A157" s="170" t="s">
        <v>847</v>
      </c>
      <c r="B157" s="170"/>
      <c r="C157" s="170"/>
      <c r="D157" s="170"/>
      <c r="E157" s="170"/>
      <c r="F157" s="170"/>
      <c r="G157" s="170"/>
      <c r="H157" s="170"/>
      <c r="I157" s="170"/>
      <c r="J157" s="170"/>
      <c r="K157" s="170"/>
      <c r="M157" s="170" t="s">
        <v>814</v>
      </c>
      <c r="N157" s="170"/>
      <c r="O157" s="170"/>
      <c r="P157" s="170"/>
      <c r="Q157" s="170"/>
      <c r="S157" s="170" t="s">
        <v>621</v>
      </c>
      <c r="T157" s="170"/>
      <c r="U157" s="170"/>
      <c r="V157" s="170"/>
      <c r="W157" s="170"/>
      <c r="X157" s="170"/>
      <c r="Z157" s="201" t="s">
        <v>0</v>
      </c>
      <c r="AA157" s="202"/>
      <c r="AB157" s="202" t="s">
        <v>1</v>
      </c>
      <c r="AC157" s="203"/>
    </row>
    <row r="158" spans="1:29" ht="12.75">
      <c r="A158" s="240"/>
      <c r="B158" s="177"/>
      <c r="C158" s="177"/>
      <c r="D158" s="177"/>
      <c r="E158" s="177"/>
      <c r="F158" s="177"/>
      <c r="G158" s="177"/>
      <c r="H158" s="177"/>
      <c r="I158" s="177"/>
      <c r="J158" s="177"/>
      <c r="K158" s="178"/>
      <c r="M158" s="240">
        <f>IF(ISNA(Gear!R4),"",Gear!R4)</f>
      </c>
      <c r="N158" s="177"/>
      <c r="O158" s="177"/>
      <c r="P158" s="177"/>
      <c r="Q158" s="178"/>
      <c r="S158" s="168" t="s">
        <v>645</v>
      </c>
      <c r="T158" s="142"/>
      <c r="U158" s="142"/>
      <c r="V158" s="142"/>
      <c r="W158" s="177">
        <f>Combat!AO20*LOOKUP(Size,Sizes,Races!Q3:Q11)</f>
        <v>0</v>
      </c>
      <c r="X158" s="178"/>
      <c r="Z158" s="185"/>
      <c r="AA158" s="186"/>
      <c r="AB158" s="186"/>
      <c r="AC158" s="189"/>
    </row>
    <row r="159" spans="1:29" ht="12.75">
      <c r="A159" s="148"/>
      <c r="B159" s="149"/>
      <c r="C159" s="149"/>
      <c r="D159" s="149"/>
      <c r="E159" s="149"/>
      <c r="F159" s="149"/>
      <c r="G159" s="149"/>
      <c r="H159" s="149"/>
      <c r="I159" s="149"/>
      <c r="J159" s="149"/>
      <c r="K159" s="150"/>
      <c r="M159" s="148">
        <f>IF(ISNA(Gear!R5),"",Gear!R5)</f>
      </c>
      <c r="N159" s="149"/>
      <c r="O159" s="149"/>
      <c r="P159" s="149"/>
      <c r="Q159" s="150"/>
      <c r="S159" s="169" t="s">
        <v>640</v>
      </c>
      <c r="T159" s="143"/>
      <c r="U159" s="143"/>
      <c r="V159" s="143"/>
      <c r="W159" s="149">
        <f>Combat!AP20*LOOKUP(Size,Sizes,Races!Q3:Q11)</f>
        <v>0</v>
      </c>
      <c r="X159" s="150"/>
      <c r="Z159" s="185" t="s">
        <v>2</v>
      </c>
      <c r="AA159" s="186"/>
      <c r="AB159" s="186" t="s">
        <v>3</v>
      </c>
      <c r="AC159" s="189"/>
    </row>
    <row r="160" spans="1:29" ht="12.75">
      <c r="A160" s="148"/>
      <c r="B160" s="149"/>
      <c r="C160" s="149"/>
      <c r="D160" s="149"/>
      <c r="E160" s="149"/>
      <c r="F160" s="149"/>
      <c r="G160" s="149"/>
      <c r="H160" s="149"/>
      <c r="I160" s="149"/>
      <c r="J160" s="149"/>
      <c r="K160" s="150"/>
      <c r="M160" s="148">
        <f>IF(ISNA(Gear!R6),"",Gear!R6)</f>
      </c>
      <c r="N160" s="149"/>
      <c r="O160" s="149"/>
      <c r="P160" s="149"/>
      <c r="Q160" s="150"/>
      <c r="S160" s="169" t="s">
        <v>641</v>
      </c>
      <c r="T160" s="143"/>
      <c r="U160" s="143"/>
      <c r="V160" s="143"/>
      <c r="W160" s="149">
        <f>Combat!AQ20*LOOKUP(Size,Sizes,Races!Q3:Q11)</f>
        <v>0</v>
      </c>
      <c r="X160" s="150"/>
      <c r="Z160" s="187"/>
      <c r="AA160" s="188"/>
      <c r="AB160" s="188"/>
      <c r="AC160" s="190"/>
    </row>
    <row r="161" spans="1:29" ht="12.75">
      <c r="A161" s="148"/>
      <c r="B161" s="149"/>
      <c r="C161" s="149"/>
      <c r="D161" s="149"/>
      <c r="E161" s="149"/>
      <c r="F161" s="149"/>
      <c r="G161" s="149"/>
      <c r="H161" s="149"/>
      <c r="I161" s="149"/>
      <c r="J161" s="149"/>
      <c r="K161" s="150"/>
      <c r="M161" s="148">
        <f>IF(ISNA(Gear!R7),"",Gear!R7)</f>
      </c>
      <c r="N161" s="149"/>
      <c r="O161" s="149"/>
      <c r="P161" s="149"/>
      <c r="Q161" s="150"/>
      <c r="S161" s="169" t="s">
        <v>642</v>
      </c>
      <c r="T161" s="143"/>
      <c r="U161" s="143"/>
      <c r="V161" s="143"/>
      <c r="W161" s="149">
        <f>W160</f>
        <v>0</v>
      </c>
      <c r="X161" s="150"/>
      <c r="Z161" s="179" t="s">
        <v>792</v>
      </c>
      <c r="AA161" s="180"/>
      <c r="AB161" s="180"/>
      <c r="AC161" s="181"/>
    </row>
    <row r="162" spans="1:29" ht="12.75">
      <c r="A162" s="148"/>
      <c r="B162" s="149"/>
      <c r="C162" s="149"/>
      <c r="D162" s="149"/>
      <c r="E162" s="149"/>
      <c r="F162" s="149"/>
      <c r="G162" s="149"/>
      <c r="H162" s="149"/>
      <c r="I162" s="149"/>
      <c r="J162" s="149"/>
      <c r="K162" s="150"/>
      <c r="M162" s="148">
        <f>IF(ISNA(Gear!R8),"",Gear!R8)</f>
      </c>
      <c r="N162" s="149"/>
      <c r="O162" s="149"/>
      <c r="P162" s="149"/>
      <c r="Q162" s="150"/>
      <c r="S162" s="169" t="s">
        <v>643</v>
      </c>
      <c r="T162" s="143"/>
      <c r="U162" s="143"/>
      <c r="V162" s="143"/>
      <c r="W162" s="149">
        <f>2*W160</f>
        <v>0</v>
      </c>
      <c r="X162" s="150"/>
      <c r="Z162" s="182" t="s">
        <v>793</v>
      </c>
      <c r="AA162" s="183"/>
      <c r="AB162" s="183"/>
      <c r="AC162" s="184"/>
    </row>
    <row r="163" spans="1:29" ht="12.75">
      <c r="A163" s="148"/>
      <c r="B163" s="149"/>
      <c r="C163" s="149"/>
      <c r="D163" s="149"/>
      <c r="E163" s="149"/>
      <c r="F163" s="149"/>
      <c r="G163" s="149"/>
      <c r="H163" s="149"/>
      <c r="I163" s="149"/>
      <c r="J163" s="149"/>
      <c r="K163" s="150"/>
      <c r="M163" s="148">
        <f>IF(ISNA(Gear!R9),"",Gear!R9)</f>
      </c>
      <c r="N163" s="149"/>
      <c r="O163" s="149"/>
      <c r="P163" s="149"/>
      <c r="Q163" s="150"/>
      <c r="S163" s="162" t="s">
        <v>644</v>
      </c>
      <c r="T163" s="163"/>
      <c r="U163" s="163"/>
      <c r="V163" s="163"/>
      <c r="W163" s="155">
        <f>5*W160</f>
        <v>0</v>
      </c>
      <c r="X163" s="156"/>
      <c r="Z163" s="182" t="s">
        <v>794</v>
      </c>
      <c r="AA163" s="183"/>
      <c r="AB163" s="183"/>
      <c r="AC163" s="184"/>
    </row>
    <row r="164" spans="1:29" ht="12.75">
      <c r="A164" s="148"/>
      <c r="B164" s="149"/>
      <c r="C164" s="149"/>
      <c r="D164" s="149"/>
      <c r="E164" s="149"/>
      <c r="F164" s="149"/>
      <c r="G164" s="149"/>
      <c r="H164" s="149"/>
      <c r="I164" s="149"/>
      <c r="J164" s="149"/>
      <c r="K164" s="150"/>
      <c r="M164" s="148">
        <f>IF(ISNA(Gear!R10),"",Gear!R10)</f>
      </c>
      <c r="N164" s="149"/>
      <c r="O164" s="149"/>
      <c r="P164" s="149"/>
      <c r="Q164" s="150"/>
      <c r="Z164" s="174" t="s">
        <v>795</v>
      </c>
      <c r="AA164" s="175"/>
      <c r="AB164" s="175"/>
      <c r="AC164" s="176"/>
    </row>
    <row r="165" spans="1:24" ht="12.75">
      <c r="A165" s="148"/>
      <c r="B165" s="149"/>
      <c r="C165" s="149"/>
      <c r="D165" s="149"/>
      <c r="E165" s="149"/>
      <c r="F165" s="149"/>
      <c r="G165" s="149"/>
      <c r="H165" s="149"/>
      <c r="I165" s="149"/>
      <c r="J165" s="149"/>
      <c r="K165" s="150"/>
      <c r="M165" s="148">
        <f>IF(ISNA(Gear!R11),"",Gear!R11)</f>
      </c>
      <c r="N165" s="149"/>
      <c r="O165" s="149"/>
      <c r="P165" s="149"/>
      <c r="Q165" s="150"/>
      <c r="S165" s="170" t="s">
        <v>807</v>
      </c>
      <c r="T165" s="170"/>
      <c r="U165" s="170"/>
      <c r="V165" s="170"/>
      <c r="W165" s="170"/>
      <c r="X165" s="170"/>
    </row>
    <row r="166" spans="1:24" ht="12.75">
      <c r="A166" s="148"/>
      <c r="B166" s="149"/>
      <c r="C166" s="149"/>
      <c r="D166" s="149"/>
      <c r="E166" s="149"/>
      <c r="F166" s="149"/>
      <c r="G166" s="149"/>
      <c r="H166" s="149"/>
      <c r="I166" s="149"/>
      <c r="J166" s="149"/>
      <c r="K166" s="150"/>
      <c r="M166" s="148">
        <f>IF(ISNA(Gear!R12),"",Gear!R12)</f>
      </c>
      <c r="N166" s="149"/>
      <c r="O166" s="149"/>
      <c r="P166" s="149"/>
      <c r="Q166" s="150"/>
      <c r="S166" s="147" t="s">
        <v>808</v>
      </c>
      <c r="T166" s="147"/>
      <c r="U166" s="147"/>
      <c r="V166" s="161"/>
      <c r="W166" s="161"/>
      <c r="X166" s="161"/>
    </row>
    <row r="167" spans="1:24" ht="12.75">
      <c r="A167" s="148"/>
      <c r="B167" s="149"/>
      <c r="C167" s="149"/>
      <c r="D167" s="149"/>
      <c r="E167" s="149"/>
      <c r="F167" s="149"/>
      <c r="G167" s="149"/>
      <c r="H167" s="149"/>
      <c r="I167" s="149"/>
      <c r="J167" s="149"/>
      <c r="K167" s="150"/>
      <c r="M167" s="148">
        <f>IF(ISNA(Gear!R13),"",Gear!R13)</f>
      </c>
      <c r="N167" s="149"/>
      <c r="O167" s="149"/>
      <c r="P167" s="149"/>
      <c r="Q167" s="150"/>
      <c r="S167" s="147" t="s">
        <v>809</v>
      </c>
      <c r="T167" s="147"/>
      <c r="U167" s="147"/>
      <c r="V167" s="161"/>
      <c r="W167" s="161"/>
      <c r="X167" s="161"/>
    </row>
    <row r="168" spans="1:24" ht="12.75">
      <c r="A168" s="148"/>
      <c r="B168" s="149"/>
      <c r="C168" s="149"/>
      <c r="D168" s="149"/>
      <c r="E168" s="149"/>
      <c r="F168" s="149"/>
      <c r="G168" s="149"/>
      <c r="H168" s="149"/>
      <c r="I168" s="149"/>
      <c r="J168" s="149"/>
      <c r="K168" s="150"/>
      <c r="M168" s="148">
        <f>IF(ISNA(Gear!R14),"",Gear!R14)</f>
      </c>
      <c r="N168" s="149"/>
      <c r="O168" s="149"/>
      <c r="P168" s="149"/>
      <c r="Q168" s="150"/>
      <c r="S168" s="147" t="s">
        <v>810</v>
      </c>
      <c r="T168" s="147"/>
      <c r="U168" s="147"/>
      <c r="V168" s="161"/>
      <c r="W168" s="161"/>
      <c r="X168" s="161"/>
    </row>
    <row r="169" spans="1:24" ht="12.75">
      <c r="A169" s="148"/>
      <c r="B169" s="149"/>
      <c r="C169" s="149"/>
      <c r="D169" s="149"/>
      <c r="E169" s="149"/>
      <c r="F169" s="149"/>
      <c r="G169" s="149"/>
      <c r="H169" s="149"/>
      <c r="I169" s="149"/>
      <c r="J169" s="149"/>
      <c r="K169" s="150"/>
      <c r="M169" s="148">
        <f>IF(ISNA(Gear!R15),"",Gear!R15)</f>
      </c>
      <c r="N169" s="149"/>
      <c r="O169" s="149"/>
      <c r="P169" s="149"/>
      <c r="Q169" s="150"/>
      <c r="S169" s="147" t="s">
        <v>811</v>
      </c>
      <c r="T169" s="147"/>
      <c r="U169" s="147"/>
      <c r="V169" s="161"/>
      <c r="W169" s="161"/>
      <c r="X169" s="161"/>
    </row>
    <row r="170" spans="1:24" ht="12.75">
      <c r="A170" s="148"/>
      <c r="B170" s="149"/>
      <c r="C170" s="149"/>
      <c r="D170" s="149"/>
      <c r="E170" s="149"/>
      <c r="F170" s="149"/>
      <c r="G170" s="149"/>
      <c r="H170" s="149"/>
      <c r="I170" s="149"/>
      <c r="J170" s="149"/>
      <c r="K170" s="150"/>
      <c r="M170" s="148">
        <f>IF(ISNA(Gear!R16),"",Gear!R16)</f>
      </c>
      <c r="N170" s="149"/>
      <c r="O170" s="149"/>
      <c r="P170" s="149"/>
      <c r="Q170" s="150"/>
      <c r="S170" s="147" t="s">
        <v>812</v>
      </c>
      <c r="T170" s="147"/>
      <c r="U170" s="147"/>
      <c r="V170" s="141">
        <f>10*V169+V168+V167/10+V166/100</f>
        <v>0</v>
      </c>
      <c r="W170" s="141"/>
      <c r="X170" s="141"/>
    </row>
    <row r="171" spans="1:24" ht="12.75">
      <c r="A171" s="148"/>
      <c r="B171" s="149"/>
      <c r="C171" s="149"/>
      <c r="D171" s="149"/>
      <c r="E171" s="149"/>
      <c r="F171" s="149"/>
      <c r="G171" s="149"/>
      <c r="H171" s="149"/>
      <c r="I171" s="149"/>
      <c r="J171" s="149"/>
      <c r="K171" s="150"/>
      <c r="M171" s="148">
        <f>IF(ISNA(Gear!R17),"",Gear!R17)</f>
      </c>
      <c r="N171" s="149"/>
      <c r="O171" s="149"/>
      <c r="P171" s="149"/>
      <c r="Q171" s="150"/>
      <c r="S171" s="147" t="s">
        <v>24</v>
      </c>
      <c r="T171" s="147"/>
      <c r="U171" s="147"/>
      <c r="V171" s="141">
        <f>SUM(V166:X169)/50</f>
        <v>0</v>
      </c>
      <c r="W171" s="141"/>
      <c r="X171" s="141"/>
    </row>
    <row r="172" spans="1:17" ht="12.75">
      <c r="A172" s="148"/>
      <c r="B172" s="149"/>
      <c r="C172" s="149"/>
      <c r="D172" s="149"/>
      <c r="E172" s="149"/>
      <c r="F172" s="149"/>
      <c r="G172" s="149"/>
      <c r="H172" s="149"/>
      <c r="I172" s="149"/>
      <c r="J172" s="149"/>
      <c r="K172" s="150"/>
      <c r="M172" s="148">
        <f>IF(ISNA(Gear!R18),"",Gear!R18)</f>
      </c>
      <c r="N172" s="149"/>
      <c r="O172" s="149"/>
      <c r="P172" s="149"/>
      <c r="Q172" s="150"/>
    </row>
    <row r="173" spans="1:24" ht="12.75">
      <c r="A173" s="148"/>
      <c r="B173" s="149"/>
      <c r="C173" s="149"/>
      <c r="D173" s="149"/>
      <c r="E173" s="149"/>
      <c r="F173" s="149"/>
      <c r="G173" s="149"/>
      <c r="H173" s="149"/>
      <c r="I173" s="149"/>
      <c r="J173" s="149"/>
      <c r="K173" s="150"/>
      <c r="M173" s="148">
        <f>IF(ISNA(Gear!R19),"",Gear!R19)</f>
      </c>
      <c r="N173" s="149"/>
      <c r="O173" s="149"/>
      <c r="P173" s="149"/>
      <c r="Q173" s="150"/>
      <c r="S173" s="170" t="s">
        <v>813</v>
      </c>
      <c r="T173" s="170"/>
      <c r="U173" s="170"/>
      <c r="V173" s="170"/>
      <c r="W173" s="170"/>
      <c r="X173" s="170"/>
    </row>
    <row r="174" spans="1:24" ht="12.75">
      <c r="A174" s="148"/>
      <c r="B174" s="149"/>
      <c r="C174" s="149"/>
      <c r="D174" s="149"/>
      <c r="E174" s="149"/>
      <c r="F174" s="149"/>
      <c r="G174" s="149"/>
      <c r="H174" s="149"/>
      <c r="I174" s="149"/>
      <c r="J174" s="149"/>
      <c r="K174" s="150"/>
      <c r="M174" s="148">
        <f>IF(ISNA(Gear!R20),"",Gear!R20)</f>
      </c>
      <c r="N174" s="149"/>
      <c r="O174" s="149"/>
      <c r="P174" s="149"/>
      <c r="Q174" s="150"/>
      <c r="S174" s="140" t="s">
        <v>831</v>
      </c>
      <c r="T174" s="140"/>
      <c r="U174" s="140"/>
      <c r="V174" s="140"/>
      <c r="W174" s="140" t="s">
        <v>24</v>
      </c>
      <c r="X174" s="140"/>
    </row>
    <row r="175" spans="1:24" ht="12.75">
      <c r="A175" s="148"/>
      <c r="B175" s="149"/>
      <c r="C175" s="149"/>
      <c r="D175" s="149"/>
      <c r="E175" s="149"/>
      <c r="F175" s="149"/>
      <c r="G175" s="149"/>
      <c r="H175" s="149"/>
      <c r="I175" s="149"/>
      <c r="J175" s="149"/>
      <c r="K175" s="150"/>
      <c r="M175" s="148">
        <f>IF(ISNA(Gear!R21),"",Gear!R21)</f>
      </c>
      <c r="N175" s="149"/>
      <c r="O175" s="149"/>
      <c r="P175" s="149"/>
      <c r="Q175" s="150"/>
      <c r="S175" s="172"/>
      <c r="T175" s="172"/>
      <c r="U175" s="172"/>
      <c r="V175" s="172"/>
      <c r="W175" s="172"/>
      <c r="X175" s="172"/>
    </row>
    <row r="176" spans="1:24" ht="12.75">
      <c r="A176" s="148"/>
      <c r="B176" s="149"/>
      <c r="C176" s="149"/>
      <c r="D176" s="149"/>
      <c r="E176" s="149"/>
      <c r="F176" s="149"/>
      <c r="G176" s="149"/>
      <c r="H176" s="149"/>
      <c r="I176" s="149"/>
      <c r="J176" s="149"/>
      <c r="K176" s="150"/>
      <c r="M176" s="148">
        <f>IF(ISNA(Gear!R22),"",Gear!R22)</f>
      </c>
      <c r="N176" s="149"/>
      <c r="O176" s="149"/>
      <c r="P176" s="149"/>
      <c r="Q176" s="150"/>
      <c r="S176" s="172"/>
      <c r="T176" s="172"/>
      <c r="U176" s="172"/>
      <c r="V176" s="172"/>
      <c r="W176" s="172"/>
      <c r="X176" s="172"/>
    </row>
    <row r="177" spans="1:24" ht="12.75">
      <c r="A177" s="148"/>
      <c r="B177" s="149"/>
      <c r="C177" s="149"/>
      <c r="D177" s="149"/>
      <c r="E177" s="149"/>
      <c r="F177" s="149"/>
      <c r="G177" s="149"/>
      <c r="H177" s="149"/>
      <c r="I177" s="149"/>
      <c r="J177" s="149"/>
      <c r="K177" s="150"/>
      <c r="M177" s="148">
        <f>IF(ISNA(Gear!R23),"",Gear!R23)</f>
      </c>
      <c r="N177" s="149"/>
      <c r="O177" s="149"/>
      <c r="P177" s="149"/>
      <c r="Q177" s="150"/>
      <c r="S177" s="172"/>
      <c r="T177" s="172"/>
      <c r="U177" s="172"/>
      <c r="V177" s="172"/>
      <c r="W177" s="172"/>
      <c r="X177" s="172"/>
    </row>
    <row r="178" spans="1:24" ht="12.75">
      <c r="A178" s="148"/>
      <c r="B178" s="149"/>
      <c r="C178" s="149"/>
      <c r="D178" s="149"/>
      <c r="E178" s="149"/>
      <c r="F178" s="149"/>
      <c r="G178" s="149"/>
      <c r="H178" s="149"/>
      <c r="I178" s="149"/>
      <c r="J178" s="149"/>
      <c r="K178" s="150"/>
      <c r="M178" s="148">
        <f>IF(ISNA(Gear!R24),"",Gear!R24)</f>
      </c>
      <c r="N178" s="149"/>
      <c r="O178" s="149"/>
      <c r="P178" s="149"/>
      <c r="Q178" s="150"/>
      <c r="S178" s="172"/>
      <c r="T178" s="172"/>
      <c r="U178" s="172"/>
      <c r="V178" s="172"/>
      <c r="W178" s="172"/>
      <c r="X178" s="172"/>
    </row>
    <row r="179" spans="1:24" ht="12.75">
      <c r="A179" s="148"/>
      <c r="B179" s="149"/>
      <c r="C179" s="149"/>
      <c r="D179" s="149"/>
      <c r="E179" s="149"/>
      <c r="F179" s="149"/>
      <c r="G179" s="149"/>
      <c r="H179" s="149"/>
      <c r="I179" s="149"/>
      <c r="J179" s="149"/>
      <c r="K179" s="150"/>
      <c r="M179" s="148">
        <f>IF(ISNA(Gear!R25),"",Gear!R25)</f>
      </c>
      <c r="N179" s="149"/>
      <c r="O179" s="149"/>
      <c r="P179" s="149"/>
      <c r="Q179" s="150"/>
      <c r="S179" s="172"/>
      <c r="T179" s="172"/>
      <c r="U179" s="172"/>
      <c r="V179" s="172"/>
      <c r="W179" s="172"/>
      <c r="X179" s="172"/>
    </row>
    <row r="180" spans="1:24" ht="12.75">
      <c r="A180" s="148"/>
      <c r="B180" s="149"/>
      <c r="C180" s="149"/>
      <c r="D180" s="149"/>
      <c r="E180" s="149"/>
      <c r="F180" s="149"/>
      <c r="G180" s="149"/>
      <c r="H180" s="149"/>
      <c r="I180" s="149"/>
      <c r="J180" s="149"/>
      <c r="K180" s="150"/>
      <c r="M180" s="148">
        <f>IF(ISNA(Gear!R26),"",Gear!R26)</f>
      </c>
      <c r="N180" s="149"/>
      <c r="O180" s="149"/>
      <c r="P180" s="149"/>
      <c r="Q180" s="150"/>
      <c r="S180" s="172"/>
      <c r="T180" s="172"/>
      <c r="U180" s="172"/>
      <c r="V180" s="172"/>
      <c r="W180" s="172"/>
      <c r="X180" s="172"/>
    </row>
    <row r="181" spans="1:24" ht="12.75">
      <c r="A181" s="148"/>
      <c r="B181" s="149"/>
      <c r="C181" s="149"/>
      <c r="D181" s="149"/>
      <c r="E181" s="149"/>
      <c r="F181" s="149"/>
      <c r="G181" s="149"/>
      <c r="H181" s="149"/>
      <c r="I181" s="149"/>
      <c r="J181" s="149"/>
      <c r="K181" s="150"/>
      <c r="M181" s="148">
        <f>IF(ISNA(Gear!R27),"",Gear!R27)</f>
      </c>
      <c r="N181" s="149"/>
      <c r="O181" s="149"/>
      <c r="P181" s="149"/>
      <c r="Q181" s="150"/>
      <c r="S181" s="172"/>
      <c r="T181" s="172"/>
      <c r="U181" s="172"/>
      <c r="V181" s="172"/>
      <c r="W181" s="172"/>
      <c r="X181" s="172"/>
    </row>
    <row r="182" spans="1:24" ht="12.75">
      <c r="A182" s="148"/>
      <c r="B182" s="149"/>
      <c r="C182" s="149"/>
      <c r="D182" s="149"/>
      <c r="E182" s="149"/>
      <c r="F182" s="149"/>
      <c r="G182" s="149"/>
      <c r="H182" s="149"/>
      <c r="I182" s="149"/>
      <c r="J182" s="149"/>
      <c r="K182" s="150"/>
      <c r="M182" s="148">
        <f>IF(ISNA(Gear!R28),"",Gear!R28)</f>
      </c>
      <c r="N182" s="149"/>
      <c r="O182" s="149"/>
      <c r="P182" s="149"/>
      <c r="Q182" s="150"/>
      <c r="S182" s="172"/>
      <c r="T182" s="172"/>
      <c r="U182" s="172"/>
      <c r="V182" s="172"/>
      <c r="W182" s="172"/>
      <c r="X182" s="172"/>
    </row>
    <row r="183" spans="1:24" ht="12.75">
      <c r="A183" s="148"/>
      <c r="B183" s="149"/>
      <c r="C183" s="149"/>
      <c r="D183" s="149"/>
      <c r="E183" s="149"/>
      <c r="F183" s="149"/>
      <c r="G183" s="149"/>
      <c r="H183" s="149"/>
      <c r="I183" s="149"/>
      <c r="J183" s="149"/>
      <c r="K183" s="150"/>
      <c r="M183" s="148">
        <f>IF(ISNA(Gear!R29),"",Gear!R29)</f>
      </c>
      <c r="N183" s="149"/>
      <c r="O183" s="149"/>
      <c r="P183" s="149"/>
      <c r="Q183" s="150"/>
      <c r="S183" s="172"/>
      <c r="T183" s="172"/>
      <c r="U183" s="172"/>
      <c r="V183" s="172"/>
      <c r="W183" s="172"/>
      <c r="X183" s="172"/>
    </row>
    <row r="184" spans="1:24" ht="12.75">
      <c r="A184" s="148"/>
      <c r="B184" s="149"/>
      <c r="C184" s="149"/>
      <c r="D184" s="149"/>
      <c r="E184" s="149"/>
      <c r="F184" s="149"/>
      <c r="G184" s="149"/>
      <c r="H184" s="149"/>
      <c r="I184" s="149"/>
      <c r="J184" s="149"/>
      <c r="K184" s="150"/>
      <c r="M184" s="148">
        <f>IF(ISNA(Gear!R30),"",Gear!R30)</f>
      </c>
      <c r="N184" s="149"/>
      <c r="O184" s="149"/>
      <c r="P184" s="149"/>
      <c r="Q184" s="150"/>
      <c r="S184" s="172"/>
      <c r="T184" s="172"/>
      <c r="U184" s="172"/>
      <c r="V184" s="172"/>
      <c r="W184" s="172"/>
      <c r="X184" s="172"/>
    </row>
    <row r="185" spans="1:24" ht="12.75">
      <c r="A185" s="148"/>
      <c r="B185" s="149"/>
      <c r="C185" s="149"/>
      <c r="D185" s="149"/>
      <c r="E185" s="149"/>
      <c r="F185" s="149"/>
      <c r="G185" s="149"/>
      <c r="H185" s="149"/>
      <c r="I185" s="149"/>
      <c r="J185" s="149"/>
      <c r="K185" s="150"/>
      <c r="M185" s="148">
        <f>IF(ISNA(Gear!R31),"",Gear!R31)</f>
      </c>
      <c r="N185" s="149"/>
      <c r="O185" s="149"/>
      <c r="P185" s="149"/>
      <c r="Q185" s="150"/>
      <c r="S185" s="172"/>
      <c r="T185" s="172"/>
      <c r="U185" s="172"/>
      <c r="V185" s="172"/>
      <c r="W185" s="172"/>
      <c r="X185" s="172"/>
    </row>
    <row r="186" spans="1:24" ht="12.75">
      <c r="A186" s="148"/>
      <c r="B186" s="149"/>
      <c r="C186" s="149"/>
      <c r="D186" s="149"/>
      <c r="E186" s="149"/>
      <c r="F186" s="149"/>
      <c r="G186" s="149"/>
      <c r="H186" s="149"/>
      <c r="I186" s="149"/>
      <c r="J186" s="149"/>
      <c r="K186" s="150"/>
      <c r="M186" s="148">
        <f>IF(ISNA(Gear!R32),"",Gear!R32)</f>
      </c>
      <c r="N186" s="149"/>
      <c r="O186" s="149"/>
      <c r="P186" s="149"/>
      <c r="Q186" s="150"/>
      <c r="S186" s="172"/>
      <c r="T186" s="172"/>
      <c r="U186" s="172"/>
      <c r="V186" s="172"/>
      <c r="W186" s="172"/>
      <c r="X186" s="172"/>
    </row>
    <row r="187" spans="1:17" ht="12.75">
      <c r="A187" s="148"/>
      <c r="B187" s="149"/>
      <c r="C187" s="149"/>
      <c r="D187" s="149"/>
      <c r="E187" s="149"/>
      <c r="F187" s="149"/>
      <c r="G187" s="149"/>
      <c r="H187" s="149"/>
      <c r="I187" s="149"/>
      <c r="J187" s="149"/>
      <c r="K187" s="150"/>
      <c r="M187" s="148">
        <f>IF(ISNA(Gear!R33),"",Gear!R33)</f>
      </c>
      <c r="N187" s="149"/>
      <c r="O187" s="149"/>
      <c r="P187" s="149"/>
      <c r="Q187" s="150"/>
    </row>
    <row r="188" spans="1:17" ht="12.75">
      <c r="A188" s="148"/>
      <c r="B188" s="149"/>
      <c r="C188" s="149"/>
      <c r="D188" s="149"/>
      <c r="E188" s="149"/>
      <c r="F188" s="149"/>
      <c r="G188" s="149"/>
      <c r="H188" s="149"/>
      <c r="I188" s="149"/>
      <c r="J188" s="149"/>
      <c r="K188" s="150"/>
      <c r="M188" s="148">
        <f>IF(ISNA(Gear!R34),"",Gear!R34)</f>
      </c>
      <c r="N188" s="149"/>
      <c r="O188" s="149"/>
      <c r="P188" s="149"/>
      <c r="Q188" s="150"/>
    </row>
    <row r="189" spans="1:17" ht="12.75">
      <c r="A189" s="148"/>
      <c r="B189" s="149"/>
      <c r="C189" s="149"/>
      <c r="D189" s="149"/>
      <c r="E189" s="149"/>
      <c r="F189" s="149"/>
      <c r="G189" s="149"/>
      <c r="H189" s="149"/>
      <c r="I189" s="149"/>
      <c r="J189" s="149"/>
      <c r="K189" s="150"/>
      <c r="M189" s="148">
        <f>IF(ISNA(Gear!R35),"",Gear!R35)</f>
      </c>
      <c r="N189" s="149"/>
      <c r="O189" s="149"/>
      <c r="P189" s="149"/>
      <c r="Q189" s="150"/>
    </row>
    <row r="190" spans="1:17" ht="12.75">
      <c r="A190" s="148"/>
      <c r="B190" s="149"/>
      <c r="C190" s="149"/>
      <c r="D190" s="149"/>
      <c r="E190" s="149"/>
      <c r="F190" s="149"/>
      <c r="G190" s="149"/>
      <c r="H190" s="149"/>
      <c r="I190" s="149"/>
      <c r="J190" s="149"/>
      <c r="K190" s="150"/>
      <c r="M190" s="148">
        <f>IF(ISNA(Gear!R36),"",Gear!R36)</f>
      </c>
      <c r="N190" s="149"/>
      <c r="O190" s="149"/>
      <c r="P190" s="149"/>
      <c r="Q190" s="150"/>
    </row>
    <row r="191" spans="1:17" ht="12.75">
      <c r="A191" s="148"/>
      <c r="B191" s="149"/>
      <c r="C191" s="149"/>
      <c r="D191" s="149"/>
      <c r="E191" s="149"/>
      <c r="F191" s="149"/>
      <c r="G191" s="149"/>
      <c r="H191" s="149"/>
      <c r="I191" s="149"/>
      <c r="J191" s="149"/>
      <c r="K191" s="150"/>
      <c r="M191" s="148">
        <f>IF(ISNA(Gear!R37),"",Gear!R37)</f>
      </c>
      <c r="N191" s="149"/>
      <c r="O191" s="149"/>
      <c r="P191" s="149"/>
      <c r="Q191" s="150"/>
    </row>
    <row r="192" spans="1:17" ht="12.75">
      <c r="A192" s="148"/>
      <c r="B192" s="149"/>
      <c r="C192" s="149"/>
      <c r="D192" s="149"/>
      <c r="E192" s="149"/>
      <c r="F192" s="149"/>
      <c r="G192" s="149"/>
      <c r="H192" s="149"/>
      <c r="I192" s="149"/>
      <c r="J192" s="149"/>
      <c r="K192" s="150"/>
      <c r="M192" s="148">
        <f>IF(ISNA(Gear!R38),"",Gear!R38)</f>
      </c>
      <c r="N192" s="149"/>
      <c r="O192" s="149"/>
      <c r="P192" s="149"/>
      <c r="Q192" s="150"/>
    </row>
    <row r="193" spans="1:17" ht="12.75">
      <c r="A193" s="148"/>
      <c r="B193" s="149"/>
      <c r="C193" s="149"/>
      <c r="D193" s="149"/>
      <c r="E193" s="149"/>
      <c r="F193" s="149"/>
      <c r="G193" s="149"/>
      <c r="H193" s="149"/>
      <c r="I193" s="149"/>
      <c r="J193" s="149"/>
      <c r="K193" s="150"/>
      <c r="M193" s="148">
        <f>IF(ISNA(Gear!R39),"",Gear!R39)</f>
      </c>
      <c r="N193" s="149"/>
      <c r="O193" s="149"/>
      <c r="P193" s="149"/>
      <c r="Q193" s="150"/>
    </row>
    <row r="194" spans="1:17" ht="12.75">
      <c r="A194" s="148"/>
      <c r="B194" s="149"/>
      <c r="C194" s="149"/>
      <c r="D194" s="149"/>
      <c r="E194" s="149"/>
      <c r="F194" s="149"/>
      <c r="G194" s="149"/>
      <c r="H194" s="149"/>
      <c r="I194" s="149"/>
      <c r="J194" s="149"/>
      <c r="K194" s="150"/>
      <c r="M194" s="148">
        <f>IF(ISNA(Gear!R40),"",Gear!R40)</f>
      </c>
      <c r="N194" s="149"/>
      <c r="O194" s="149"/>
      <c r="P194" s="149"/>
      <c r="Q194" s="150"/>
    </row>
    <row r="195" spans="1:17" ht="12.75">
      <c r="A195" s="148"/>
      <c r="B195" s="149"/>
      <c r="C195" s="149"/>
      <c r="D195" s="149"/>
      <c r="E195" s="149"/>
      <c r="F195" s="149"/>
      <c r="G195" s="149"/>
      <c r="H195" s="149"/>
      <c r="I195" s="149"/>
      <c r="J195" s="149"/>
      <c r="K195" s="150"/>
      <c r="M195" s="148">
        <f>IF(ISNA(Gear!R41),"",Gear!R41)</f>
      </c>
      <c r="N195" s="149"/>
      <c r="O195" s="149"/>
      <c r="P195" s="149"/>
      <c r="Q195" s="150"/>
    </row>
    <row r="196" spans="1:17" ht="12.75">
      <c r="A196" s="148"/>
      <c r="B196" s="149"/>
      <c r="C196" s="149"/>
      <c r="D196" s="149"/>
      <c r="E196" s="149"/>
      <c r="F196" s="149"/>
      <c r="G196" s="149"/>
      <c r="H196" s="149"/>
      <c r="I196" s="149"/>
      <c r="J196" s="149"/>
      <c r="K196" s="150"/>
      <c r="M196" s="148">
        <f>IF(ISNA(Gear!R42),"",Gear!R42)</f>
      </c>
      <c r="N196" s="149"/>
      <c r="O196" s="149"/>
      <c r="P196" s="149"/>
      <c r="Q196" s="150"/>
    </row>
    <row r="197" spans="1:17" ht="12.75">
      <c r="A197" s="148"/>
      <c r="B197" s="149"/>
      <c r="C197" s="149"/>
      <c r="D197" s="149"/>
      <c r="E197" s="149"/>
      <c r="F197" s="149"/>
      <c r="G197" s="149"/>
      <c r="H197" s="149"/>
      <c r="I197" s="149"/>
      <c r="J197" s="149"/>
      <c r="K197" s="150"/>
      <c r="M197" s="148">
        <f>IF(ISNA(Gear!R43),"",Gear!R43)</f>
      </c>
      <c r="N197" s="149"/>
      <c r="O197" s="149"/>
      <c r="P197" s="149"/>
      <c r="Q197" s="150"/>
    </row>
    <row r="198" spans="1:17" ht="12.75">
      <c r="A198" s="148"/>
      <c r="B198" s="149"/>
      <c r="C198" s="149"/>
      <c r="D198" s="149"/>
      <c r="E198" s="149"/>
      <c r="F198" s="149"/>
      <c r="G198" s="149"/>
      <c r="H198" s="149"/>
      <c r="I198" s="149"/>
      <c r="J198" s="149"/>
      <c r="K198" s="150"/>
      <c r="M198" s="148">
        <f>IF(ISNA(Gear!R44),"",Gear!R44)</f>
      </c>
      <c r="N198" s="149"/>
      <c r="O198" s="149"/>
      <c r="P198" s="149"/>
      <c r="Q198" s="150"/>
    </row>
    <row r="199" spans="1:17" ht="12.75">
      <c r="A199" s="148"/>
      <c r="B199" s="149"/>
      <c r="C199" s="149"/>
      <c r="D199" s="149"/>
      <c r="E199" s="149"/>
      <c r="F199" s="149"/>
      <c r="G199" s="149"/>
      <c r="H199" s="149"/>
      <c r="I199" s="149"/>
      <c r="J199" s="149"/>
      <c r="K199" s="150"/>
      <c r="M199" s="148">
        <f>IF(ISNA(Gear!R45),"",Gear!R45)</f>
      </c>
      <c r="N199" s="149"/>
      <c r="O199" s="149"/>
      <c r="P199" s="149"/>
      <c r="Q199" s="150"/>
    </row>
    <row r="200" spans="1:17" ht="12.75">
      <c r="A200" s="148"/>
      <c r="B200" s="149"/>
      <c r="C200" s="149"/>
      <c r="D200" s="149"/>
      <c r="E200" s="149"/>
      <c r="F200" s="149"/>
      <c r="G200" s="149"/>
      <c r="H200" s="149"/>
      <c r="I200" s="149"/>
      <c r="J200" s="149"/>
      <c r="K200" s="150"/>
      <c r="M200" s="148">
        <f>IF(ISNA(Gear!R46),"",Gear!R46)</f>
      </c>
      <c r="N200" s="149"/>
      <c r="O200" s="149"/>
      <c r="P200" s="149"/>
      <c r="Q200" s="150"/>
    </row>
    <row r="201" spans="1:17" ht="12.75">
      <c r="A201" s="148"/>
      <c r="B201" s="149"/>
      <c r="C201" s="149"/>
      <c r="D201" s="149"/>
      <c r="E201" s="149"/>
      <c r="F201" s="149"/>
      <c r="G201" s="149"/>
      <c r="H201" s="149"/>
      <c r="I201" s="149"/>
      <c r="J201" s="149"/>
      <c r="K201" s="150"/>
      <c r="M201" s="148">
        <f>IF(ISNA(Gear!R47),"",Gear!R47)</f>
      </c>
      <c r="N201" s="149"/>
      <c r="O201" s="149"/>
      <c r="P201" s="149"/>
      <c r="Q201" s="150"/>
    </row>
    <row r="202" spans="1:17" ht="12.75">
      <c r="A202" s="148"/>
      <c r="B202" s="149"/>
      <c r="C202" s="149"/>
      <c r="D202" s="149"/>
      <c r="E202" s="149"/>
      <c r="F202" s="149"/>
      <c r="G202" s="149"/>
      <c r="H202" s="149"/>
      <c r="I202" s="149"/>
      <c r="J202" s="149"/>
      <c r="K202" s="150"/>
      <c r="M202" s="148">
        <f>IF(ISNA(Gear!R48),"",Gear!R48)</f>
      </c>
      <c r="N202" s="149"/>
      <c r="O202" s="149"/>
      <c r="P202" s="149"/>
      <c r="Q202" s="150"/>
    </row>
    <row r="203" spans="1:17" ht="12.75">
      <c r="A203" s="148"/>
      <c r="B203" s="149"/>
      <c r="C203" s="149"/>
      <c r="D203" s="149"/>
      <c r="E203" s="149"/>
      <c r="F203" s="149"/>
      <c r="G203" s="149"/>
      <c r="H203" s="149"/>
      <c r="I203" s="149"/>
      <c r="J203" s="149"/>
      <c r="K203" s="150"/>
      <c r="M203" s="148">
        <f>IF(ISNA(Gear!R49),"",Gear!R49)</f>
      </c>
      <c r="N203" s="149"/>
      <c r="O203" s="149"/>
      <c r="P203" s="149"/>
      <c r="Q203" s="150"/>
    </row>
    <row r="204" spans="1:17" ht="12.75">
      <c r="A204" s="148"/>
      <c r="B204" s="149"/>
      <c r="C204" s="149"/>
      <c r="D204" s="149"/>
      <c r="E204" s="149"/>
      <c r="F204" s="149"/>
      <c r="G204" s="149"/>
      <c r="H204" s="149"/>
      <c r="I204" s="149"/>
      <c r="J204" s="149"/>
      <c r="K204" s="150"/>
      <c r="M204" s="148">
        <f>IF(ISNA(Gear!R50),"",Gear!R50)</f>
      </c>
      <c r="N204" s="149"/>
      <c r="O204" s="149"/>
      <c r="P204" s="149"/>
      <c r="Q204" s="150"/>
    </row>
    <row r="205" spans="1:17" ht="12.75">
      <c r="A205" s="148"/>
      <c r="B205" s="149"/>
      <c r="C205" s="149"/>
      <c r="D205" s="149"/>
      <c r="E205" s="149"/>
      <c r="F205" s="149"/>
      <c r="G205" s="149"/>
      <c r="H205" s="149"/>
      <c r="I205" s="149"/>
      <c r="J205" s="149"/>
      <c r="K205" s="150"/>
      <c r="M205" s="148">
        <f>IF(ISNA(Gear!R51),"",Gear!R51)</f>
      </c>
      <c r="N205" s="149"/>
      <c r="O205" s="149"/>
      <c r="P205" s="149"/>
      <c r="Q205" s="150"/>
    </row>
    <row r="206" spans="1:24" ht="12.75">
      <c r="A206" s="148"/>
      <c r="B206" s="149"/>
      <c r="C206" s="149"/>
      <c r="D206" s="149"/>
      <c r="E206" s="149"/>
      <c r="F206" s="149"/>
      <c r="G206" s="149"/>
      <c r="H206" s="149"/>
      <c r="I206" s="149"/>
      <c r="J206" s="149"/>
      <c r="K206" s="150"/>
      <c r="M206" s="148">
        <f>IF(ISNA(Gear!R52),"",Gear!R52)</f>
      </c>
      <c r="N206" s="149"/>
      <c r="O206" s="149"/>
      <c r="P206" s="149"/>
      <c r="Q206" s="150"/>
      <c r="R206" s="140" t="s">
        <v>780</v>
      </c>
      <c r="S206" s="140"/>
      <c r="T206" s="140"/>
      <c r="U206" s="140"/>
      <c r="V206" s="140"/>
      <c r="W206" s="171">
        <f>SUMPRODUCT(Gear!M4:M144,Gear!N4:N144)+SUM(Gear!E11,Gear!E18,Gear!E25,Gear!C33,Gear!C40,Gear!C47,Gear!I23,Gear!I13,Gear!H28,Gear!H32,V171)+SUM(W175:X186)</f>
        <v>0</v>
      </c>
      <c r="X206" s="171"/>
    </row>
    <row r="207" spans="1:24" ht="12.75">
      <c r="A207" s="148"/>
      <c r="B207" s="149"/>
      <c r="C207" s="149"/>
      <c r="D207" s="149"/>
      <c r="E207" s="149"/>
      <c r="F207" s="149"/>
      <c r="G207" s="149"/>
      <c r="H207" s="149"/>
      <c r="I207" s="149"/>
      <c r="J207" s="149"/>
      <c r="K207" s="150"/>
      <c r="M207" s="148">
        <f>IF(ISNA(Gear!R53),"",Gear!R53)</f>
      </c>
      <c r="N207" s="149"/>
      <c r="O207" s="149"/>
      <c r="P207" s="149"/>
      <c r="Q207" s="150"/>
      <c r="S207" s="147" t="s">
        <v>781</v>
      </c>
      <c r="T207" s="147"/>
      <c r="U207" s="141" t="str">
        <f>IF(W206&lt;=W158,"Light Load",IF(W206&lt;=W159,"Medium Load",IF(W206&lt;=W160,"Heavy Load",IF(W206&lt;=W163,"Load must be dragged","Way too heavy!"))))</f>
        <v>Light Load</v>
      </c>
      <c r="V207" s="141"/>
      <c r="W207" s="141"/>
      <c r="X207" s="141"/>
    </row>
    <row r="208" spans="1:21" ht="12.75">
      <c r="A208" s="154"/>
      <c r="B208" s="155"/>
      <c r="C208" s="155"/>
      <c r="D208" s="155"/>
      <c r="E208" s="155"/>
      <c r="F208" s="155"/>
      <c r="G208" s="155"/>
      <c r="H208" s="155"/>
      <c r="I208" s="155"/>
      <c r="J208" s="155"/>
      <c r="K208" s="156"/>
      <c r="M208" s="154">
        <f>IF(ISNA(Gear!R54),"",Gear!R54)</f>
      </c>
      <c r="N208" s="155"/>
      <c r="O208" s="155"/>
      <c r="P208" s="155"/>
      <c r="Q208" s="156"/>
      <c r="R208" s="3" t="s">
        <v>867</v>
      </c>
      <c r="S208" s="3">
        <f>IF(W206&gt;W158,IF(W206&gt;W159,1,3),DexMod)</f>
        <v>-5</v>
      </c>
      <c r="T208" s="3" t="s">
        <v>868</v>
      </c>
      <c r="U208" s="3">
        <f>IF(W206&gt;W158,IF(W206&gt;W159,-6,-3),"")</f>
      </c>
    </row>
  </sheetData>
  <sheetProtection/>
  <mergeCells count="728">
    <mergeCell ref="T16:U16"/>
    <mergeCell ref="Q48:T48"/>
    <mergeCell ref="Q50:T50"/>
    <mergeCell ref="Q49:X49"/>
    <mergeCell ref="Q18:U18"/>
    <mergeCell ref="N22:X22"/>
    <mergeCell ref="L20:O20"/>
    <mergeCell ref="U36:V36"/>
    <mergeCell ref="N35:O35"/>
    <mergeCell ref="P35:Q35"/>
    <mergeCell ref="O48:P48"/>
    <mergeCell ref="O50:P50"/>
    <mergeCell ref="O49:P49"/>
    <mergeCell ref="O51:P51"/>
    <mergeCell ref="P24:Q24"/>
    <mergeCell ref="N25:O25"/>
    <mergeCell ref="P25:Q25"/>
    <mergeCell ref="N26:O26"/>
    <mergeCell ref="A207:K207"/>
    <mergeCell ref="A208:K208"/>
    <mergeCell ref="S153:W153"/>
    <mergeCell ref="S154:T154"/>
    <mergeCell ref="S155:T155"/>
    <mergeCell ref="A203:K203"/>
    <mergeCell ref="A204:K204"/>
    <mergeCell ref="A205:K205"/>
    <mergeCell ref="A206:K206"/>
    <mergeCell ref="A199:K199"/>
    <mergeCell ref="A202:K202"/>
    <mergeCell ref="A195:K195"/>
    <mergeCell ref="A196:K196"/>
    <mergeCell ref="A197:K197"/>
    <mergeCell ref="A198:K198"/>
    <mergeCell ref="A193:K193"/>
    <mergeCell ref="A194:K194"/>
    <mergeCell ref="A200:K200"/>
    <mergeCell ref="A201:K201"/>
    <mergeCell ref="A189:K189"/>
    <mergeCell ref="A190:K190"/>
    <mergeCell ref="A191:K191"/>
    <mergeCell ref="A192:K192"/>
    <mergeCell ref="A185:K185"/>
    <mergeCell ref="A186:K186"/>
    <mergeCell ref="A187:K187"/>
    <mergeCell ref="A188:K188"/>
    <mergeCell ref="A181:K181"/>
    <mergeCell ref="A182:K182"/>
    <mergeCell ref="A183:K183"/>
    <mergeCell ref="A184:K184"/>
    <mergeCell ref="A177:K177"/>
    <mergeCell ref="A178:K178"/>
    <mergeCell ref="A179:K179"/>
    <mergeCell ref="A180:K180"/>
    <mergeCell ref="A173:K173"/>
    <mergeCell ref="A174:K174"/>
    <mergeCell ref="A175:K175"/>
    <mergeCell ref="A176:K176"/>
    <mergeCell ref="A169:K169"/>
    <mergeCell ref="A170:K170"/>
    <mergeCell ref="A171:K171"/>
    <mergeCell ref="A172:K172"/>
    <mergeCell ref="A165:K165"/>
    <mergeCell ref="A166:K166"/>
    <mergeCell ref="A167:K167"/>
    <mergeCell ref="A168:K168"/>
    <mergeCell ref="A163:K163"/>
    <mergeCell ref="S183:V183"/>
    <mergeCell ref="W183:X183"/>
    <mergeCell ref="S186:V186"/>
    <mergeCell ref="W186:X186"/>
    <mergeCell ref="S184:V184"/>
    <mergeCell ref="W184:X184"/>
    <mergeCell ref="S185:V185"/>
    <mergeCell ref="W185:X185"/>
    <mergeCell ref="A164:K164"/>
    <mergeCell ref="W181:X181"/>
    <mergeCell ref="S182:V182"/>
    <mergeCell ref="W182:X182"/>
    <mergeCell ref="S179:V179"/>
    <mergeCell ref="W179:X179"/>
    <mergeCell ref="S180:V180"/>
    <mergeCell ref="W180:X180"/>
    <mergeCell ref="S181:V181"/>
    <mergeCell ref="I103:N103"/>
    <mergeCell ref="I98:N98"/>
    <mergeCell ref="I99:N99"/>
    <mergeCell ref="A157:K157"/>
    <mergeCell ref="E136:F136"/>
    <mergeCell ref="E118:F118"/>
    <mergeCell ref="E135:F135"/>
    <mergeCell ref="I134:I135"/>
    <mergeCell ref="J135:W135"/>
    <mergeCell ref="U128:V128"/>
    <mergeCell ref="S178:V178"/>
    <mergeCell ref="W178:X178"/>
    <mergeCell ref="S176:V176"/>
    <mergeCell ref="W176:X176"/>
    <mergeCell ref="W177:X177"/>
    <mergeCell ref="C43:D43"/>
    <mergeCell ref="D51:E51"/>
    <mergeCell ref="F52:G52"/>
    <mergeCell ref="Q28:S28"/>
    <mergeCell ref="Q36:S36"/>
    <mergeCell ref="Q44:S44"/>
    <mergeCell ref="D28:F28"/>
    <mergeCell ref="D36:F36"/>
    <mergeCell ref="D44:F44"/>
    <mergeCell ref="G28:H28"/>
    <mergeCell ref="G36:H36"/>
    <mergeCell ref="A41:B41"/>
    <mergeCell ref="C41:D41"/>
    <mergeCell ref="C40:D40"/>
    <mergeCell ref="D49:E49"/>
    <mergeCell ref="D50:E50"/>
    <mergeCell ref="A44:C44"/>
    <mergeCell ref="A43:B43"/>
    <mergeCell ref="D45:K45"/>
    <mergeCell ref="I48:K48"/>
    <mergeCell ref="I49:K49"/>
    <mergeCell ref="I50:K50"/>
    <mergeCell ref="I43:K43"/>
    <mergeCell ref="G43:H43"/>
    <mergeCell ref="A51:C51"/>
    <mergeCell ref="M208:Q208"/>
    <mergeCell ref="M200:Q200"/>
    <mergeCell ref="M201:Q201"/>
    <mergeCell ref="M194:Q194"/>
    <mergeCell ref="M195:Q195"/>
    <mergeCell ref="M197:Q197"/>
    <mergeCell ref="M207:Q207"/>
    <mergeCell ref="M206:Q206"/>
    <mergeCell ref="I89:N89"/>
    <mergeCell ref="M187:Q187"/>
    <mergeCell ref="M188:Q188"/>
    <mergeCell ref="M189:Q189"/>
    <mergeCell ref="F49:G49"/>
    <mergeCell ref="F51:G51"/>
    <mergeCell ref="A158:K158"/>
    <mergeCell ref="A159:K159"/>
    <mergeCell ref="A160:K160"/>
    <mergeCell ref="A161:K161"/>
    <mergeCell ref="A162:K162"/>
    <mergeCell ref="M190:Q190"/>
    <mergeCell ref="I102:N102"/>
    <mergeCell ref="I94:N94"/>
    <mergeCell ref="I95:N95"/>
    <mergeCell ref="I96:N96"/>
    <mergeCell ref="I97:N97"/>
    <mergeCell ref="M183:Q183"/>
    <mergeCell ref="M185:Q185"/>
    <mergeCell ref="M186:Q186"/>
    <mergeCell ref="M184:Q184"/>
    <mergeCell ref="M205:Q205"/>
    <mergeCell ref="M191:Q191"/>
    <mergeCell ref="M192:Q192"/>
    <mergeCell ref="M193:Q193"/>
    <mergeCell ref="M198:Q198"/>
    <mergeCell ref="M199:Q199"/>
    <mergeCell ref="M196:Q196"/>
    <mergeCell ref="M204:Q204"/>
    <mergeCell ref="M202:Q202"/>
    <mergeCell ref="M203:Q203"/>
    <mergeCell ref="M176:Q176"/>
    <mergeCell ref="M177:Q177"/>
    <mergeCell ref="M178:Q178"/>
    <mergeCell ref="M168:Q168"/>
    <mergeCell ref="M175:Q175"/>
    <mergeCell ref="M171:Q171"/>
    <mergeCell ref="M172:Q172"/>
    <mergeCell ref="M173:Q173"/>
    <mergeCell ref="M174:Q174"/>
    <mergeCell ref="M169:Q169"/>
    <mergeCell ref="M179:Q179"/>
    <mergeCell ref="M180:Q180"/>
    <mergeCell ref="M181:Q181"/>
    <mergeCell ref="M182:Q182"/>
    <mergeCell ref="M170:Q170"/>
    <mergeCell ref="M163:Q163"/>
    <mergeCell ref="M164:Q164"/>
    <mergeCell ref="M165:Q165"/>
    <mergeCell ref="M166:Q166"/>
    <mergeCell ref="M167:Q167"/>
    <mergeCell ref="M159:Q159"/>
    <mergeCell ref="M160:Q160"/>
    <mergeCell ref="M161:Q161"/>
    <mergeCell ref="M162:Q162"/>
    <mergeCell ref="M158:Q158"/>
    <mergeCell ref="I100:N100"/>
    <mergeCell ref="I101:N101"/>
    <mergeCell ref="G44:H44"/>
    <mergeCell ref="I44:K44"/>
    <mergeCell ref="A47:G47"/>
    <mergeCell ref="A48:D48"/>
    <mergeCell ref="M157:Q157"/>
    <mergeCell ref="A50:C50"/>
    <mergeCell ref="A52:C52"/>
    <mergeCell ref="O37:P37"/>
    <mergeCell ref="U44:V44"/>
    <mergeCell ref="U43:V43"/>
    <mergeCell ref="N39:X39"/>
    <mergeCell ref="N41:O41"/>
    <mergeCell ref="P41:Q41"/>
    <mergeCell ref="N43:O43"/>
    <mergeCell ref="P42:Q42"/>
    <mergeCell ref="N42:O42"/>
    <mergeCell ref="P43:Q43"/>
    <mergeCell ref="P32:Q32"/>
    <mergeCell ref="A31:K31"/>
    <mergeCell ref="Q30:S30"/>
    <mergeCell ref="A28:C28"/>
    <mergeCell ref="C32:D32"/>
    <mergeCell ref="O29:P29"/>
    <mergeCell ref="N31:X31"/>
    <mergeCell ref="C24:D24"/>
    <mergeCell ref="C25:D25"/>
    <mergeCell ref="C26:D26"/>
    <mergeCell ref="B37:C37"/>
    <mergeCell ref="B29:C29"/>
    <mergeCell ref="A27:B27"/>
    <mergeCell ref="A35:B35"/>
    <mergeCell ref="C35:D35"/>
    <mergeCell ref="A33:B33"/>
    <mergeCell ref="C33:D33"/>
    <mergeCell ref="A42:B42"/>
    <mergeCell ref="C42:D42"/>
    <mergeCell ref="D37:K37"/>
    <mergeCell ref="C27:D27"/>
    <mergeCell ref="G27:H27"/>
    <mergeCell ref="I28:K28"/>
    <mergeCell ref="A34:B34"/>
    <mergeCell ref="C34:D34"/>
    <mergeCell ref="A39:K39"/>
    <mergeCell ref="I36:K36"/>
    <mergeCell ref="E132:F132"/>
    <mergeCell ref="E130:F130"/>
    <mergeCell ref="J131:W131"/>
    <mergeCell ref="I132:I133"/>
    <mergeCell ref="N128:O128"/>
    <mergeCell ref="E133:F133"/>
    <mergeCell ref="E134:F134"/>
    <mergeCell ref="N129:O129"/>
    <mergeCell ref="A129:F129"/>
    <mergeCell ref="J132:W132"/>
    <mergeCell ref="J133:W133"/>
    <mergeCell ref="J134:W134"/>
    <mergeCell ref="U129:V129"/>
    <mergeCell ref="E131:F131"/>
    <mergeCell ref="U125:V125"/>
    <mergeCell ref="U126:V126"/>
    <mergeCell ref="U127:V127"/>
    <mergeCell ref="U120:V120"/>
    <mergeCell ref="U121:V121"/>
    <mergeCell ref="U122:V122"/>
    <mergeCell ref="U123:V123"/>
    <mergeCell ref="N124:O124"/>
    <mergeCell ref="T112:U112"/>
    <mergeCell ref="T115:U115"/>
    <mergeCell ref="E126:F126"/>
    <mergeCell ref="T113:U113"/>
    <mergeCell ref="T114:U114"/>
    <mergeCell ref="N123:O123"/>
    <mergeCell ref="A122:F122"/>
    <mergeCell ref="E123:F123"/>
    <mergeCell ref="U124:V124"/>
    <mergeCell ref="E127:F127"/>
    <mergeCell ref="N125:O125"/>
    <mergeCell ref="N126:O126"/>
    <mergeCell ref="T116:U116"/>
    <mergeCell ref="E120:F120"/>
    <mergeCell ref="N121:O121"/>
    <mergeCell ref="N122:O122"/>
    <mergeCell ref="N119:O119"/>
    <mergeCell ref="N120:O120"/>
    <mergeCell ref="E119:F119"/>
    <mergeCell ref="E117:F117"/>
    <mergeCell ref="F106:G106"/>
    <mergeCell ref="F107:G107"/>
    <mergeCell ref="F108:G108"/>
    <mergeCell ref="F109:G109"/>
    <mergeCell ref="F110:G110"/>
    <mergeCell ref="M110:N110"/>
    <mergeCell ref="F111:G111"/>
    <mergeCell ref="F112:G112"/>
    <mergeCell ref="A89:G89"/>
    <mergeCell ref="A95:G95"/>
    <mergeCell ref="A93:G93"/>
    <mergeCell ref="I91:N91"/>
    <mergeCell ref="I92:N92"/>
    <mergeCell ref="I104:N104"/>
    <mergeCell ref="I93:N93"/>
    <mergeCell ref="I72:N72"/>
    <mergeCell ref="I65:N65"/>
    <mergeCell ref="I73:N73"/>
    <mergeCell ref="I66:N66"/>
    <mergeCell ref="I67:N67"/>
    <mergeCell ref="I70:N70"/>
    <mergeCell ref="I71:N71"/>
    <mergeCell ref="I69:N69"/>
    <mergeCell ref="A77:G77"/>
    <mergeCell ref="A90:G90"/>
    <mergeCell ref="A91:G91"/>
    <mergeCell ref="A92:G92"/>
    <mergeCell ref="A85:G85"/>
    <mergeCell ref="A81:G81"/>
    <mergeCell ref="A82:G82"/>
    <mergeCell ref="A83:G83"/>
    <mergeCell ref="A84:G84"/>
    <mergeCell ref="A80:G80"/>
    <mergeCell ref="E124:F124"/>
    <mergeCell ref="E125:F125"/>
    <mergeCell ref="U119:V119"/>
    <mergeCell ref="A105:G105"/>
    <mergeCell ref="M106:N106"/>
    <mergeCell ref="I118:O118"/>
    <mergeCell ref="E116:F116"/>
    <mergeCell ref="A115:F115"/>
    <mergeCell ref="M116:N116"/>
    <mergeCell ref="F113:G113"/>
    <mergeCell ref="S8:U8"/>
    <mergeCell ref="T90:U90"/>
    <mergeCell ref="T91:U91"/>
    <mergeCell ref="N127:O127"/>
    <mergeCell ref="M111:N111"/>
    <mergeCell ref="M112:N112"/>
    <mergeCell ref="M113:N113"/>
    <mergeCell ref="M109:N109"/>
    <mergeCell ref="M107:N107"/>
    <mergeCell ref="M108:N108"/>
    <mergeCell ref="P9:R9"/>
    <mergeCell ref="T104:U104"/>
    <mergeCell ref="T100:U100"/>
    <mergeCell ref="T101:U101"/>
    <mergeCell ref="T102:U102"/>
    <mergeCell ref="T103:U103"/>
    <mergeCell ref="N44:P44"/>
    <mergeCell ref="N36:P36"/>
    <mergeCell ref="Q37:X37"/>
    <mergeCell ref="O38:P38"/>
    <mergeCell ref="T110:U110"/>
    <mergeCell ref="T111:U111"/>
    <mergeCell ref="I35:K35"/>
    <mergeCell ref="M9:O9"/>
    <mergeCell ref="S9:U9"/>
    <mergeCell ref="I27:K27"/>
    <mergeCell ref="Q29:X29"/>
    <mergeCell ref="O30:P30"/>
    <mergeCell ref="N28:P28"/>
    <mergeCell ref="W27:X27"/>
    <mergeCell ref="I12:K12"/>
    <mergeCell ref="L16:M16"/>
    <mergeCell ref="L15:M15"/>
    <mergeCell ref="I16:K16"/>
    <mergeCell ref="L12:M12"/>
    <mergeCell ref="L13:M13"/>
    <mergeCell ref="I64:N64"/>
    <mergeCell ref="I62:N62"/>
    <mergeCell ref="I63:N63"/>
    <mergeCell ref="I55:N55"/>
    <mergeCell ref="L19:O19"/>
    <mergeCell ref="F14:G14"/>
    <mergeCell ref="F15:G15"/>
    <mergeCell ref="N27:O27"/>
    <mergeCell ref="D52:E52"/>
    <mergeCell ref="F50:G50"/>
    <mergeCell ref="Q118:V118"/>
    <mergeCell ref="P105:U105"/>
    <mergeCell ref="T106:U106"/>
    <mergeCell ref="M114:N114"/>
    <mergeCell ref="M115:N115"/>
    <mergeCell ref="I105:N105"/>
    <mergeCell ref="T107:U107"/>
    <mergeCell ref="T108:U108"/>
    <mergeCell ref="T109:U109"/>
    <mergeCell ref="A18:B18"/>
    <mergeCell ref="I47:M47"/>
    <mergeCell ref="A22:K22"/>
    <mergeCell ref="A25:B25"/>
    <mergeCell ref="A26:B26"/>
    <mergeCell ref="D29:K29"/>
    <mergeCell ref="N23:X23"/>
    <mergeCell ref="T88:U88"/>
    <mergeCell ref="T89:U89"/>
    <mergeCell ref="K7:L7"/>
    <mergeCell ref="I7:J7"/>
    <mergeCell ref="I11:K11"/>
    <mergeCell ref="H8:J8"/>
    <mergeCell ref="G7:H7"/>
    <mergeCell ref="F11:G11"/>
    <mergeCell ref="H9:L9"/>
    <mergeCell ref="L11:M11"/>
    <mergeCell ref="K8:O8"/>
    <mergeCell ref="F10:G10"/>
    <mergeCell ref="D12:E12"/>
    <mergeCell ref="F12:G12"/>
    <mergeCell ref="A17:E17"/>
    <mergeCell ref="A12:C12"/>
    <mergeCell ref="A13:C13"/>
    <mergeCell ref="D13:E13"/>
    <mergeCell ref="D15:E15"/>
    <mergeCell ref="F13:G13"/>
    <mergeCell ref="A10:C10"/>
    <mergeCell ref="D11:E11"/>
    <mergeCell ref="C5:E5"/>
    <mergeCell ref="C6:D6"/>
    <mergeCell ref="A7:B7"/>
    <mergeCell ref="E7:F7"/>
    <mergeCell ref="D9:E9"/>
    <mergeCell ref="F9:G9"/>
    <mergeCell ref="A11:C11"/>
    <mergeCell ref="C7:D7"/>
    <mergeCell ref="I4:M4"/>
    <mergeCell ref="F5:G5"/>
    <mergeCell ref="A3:B3"/>
    <mergeCell ref="C3:I3"/>
    <mergeCell ref="J3:K3"/>
    <mergeCell ref="A4:B4"/>
    <mergeCell ref="C4:E4"/>
    <mergeCell ref="A5:B5"/>
    <mergeCell ref="F4:H4"/>
    <mergeCell ref="H5:L5"/>
    <mergeCell ref="A1:D1"/>
    <mergeCell ref="A2:D2"/>
    <mergeCell ref="E1:J1"/>
    <mergeCell ref="E2:J2"/>
    <mergeCell ref="T98:U98"/>
    <mergeCell ref="T99:U99"/>
    <mergeCell ref="T92:U92"/>
    <mergeCell ref="T93:U93"/>
    <mergeCell ref="T94:U94"/>
    <mergeCell ref="T95:U95"/>
    <mergeCell ref="T96:U96"/>
    <mergeCell ref="T97:U97"/>
    <mergeCell ref="T87:U87"/>
    <mergeCell ref="T80:U80"/>
    <mergeCell ref="T81:U81"/>
    <mergeCell ref="T82:U82"/>
    <mergeCell ref="T83:U83"/>
    <mergeCell ref="T84:U84"/>
    <mergeCell ref="T85:U85"/>
    <mergeCell ref="T86:U86"/>
    <mergeCell ref="T76:U76"/>
    <mergeCell ref="T77:U77"/>
    <mergeCell ref="T78:U78"/>
    <mergeCell ref="T79:U79"/>
    <mergeCell ref="T72:U72"/>
    <mergeCell ref="T73:U73"/>
    <mergeCell ref="T74:U74"/>
    <mergeCell ref="T75:U75"/>
    <mergeCell ref="T63:U63"/>
    <mergeCell ref="T69:U69"/>
    <mergeCell ref="T70:U70"/>
    <mergeCell ref="T71:U71"/>
    <mergeCell ref="T64:U64"/>
    <mergeCell ref="T65:U65"/>
    <mergeCell ref="T66:U66"/>
    <mergeCell ref="T67:U67"/>
    <mergeCell ref="T68:U68"/>
    <mergeCell ref="P102:S102"/>
    <mergeCell ref="P103:S103"/>
    <mergeCell ref="P104:S104"/>
    <mergeCell ref="T56:U56"/>
    <mergeCell ref="T57:U57"/>
    <mergeCell ref="T58:U58"/>
    <mergeCell ref="T59:U59"/>
    <mergeCell ref="T60:U60"/>
    <mergeCell ref="T61:U61"/>
    <mergeCell ref="T62:U62"/>
    <mergeCell ref="P98:S98"/>
    <mergeCell ref="P99:S99"/>
    <mergeCell ref="P100:S100"/>
    <mergeCell ref="P101:S101"/>
    <mergeCell ref="P94:S94"/>
    <mergeCell ref="P95:S95"/>
    <mergeCell ref="P96:S96"/>
    <mergeCell ref="P97:S97"/>
    <mergeCell ref="P90:S90"/>
    <mergeCell ref="P91:S91"/>
    <mergeCell ref="P92:S92"/>
    <mergeCell ref="P93:S93"/>
    <mergeCell ref="P86:S86"/>
    <mergeCell ref="P87:S87"/>
    <mergeCell ref="P88:S88"/>
    <mergeCell ref="P89:S89"/>
    <mergeCell ref="P82:S82"/>
    <mergeCell ref="P83:S83"/>
    <mergeCell ref="P84:S84"/>
    <mergeCell ref="P85:S85"/>
    <mergeCell ref="P78:S78"/>
    <mergeCell ref="P79:S79"/>
    <mergeCell ref="P80:S80"/>
    <mergeCell ref="P81:S81"/>
    <mergeCell ref="Z59:AC59"/>
    <mergeCell ref="Z60:AC60"/>
    <mergeCell ref="Z157:AA158"/>
    <mergeCell ref="AB157:AC158"/>
    <mergeCell ref="Z105:AA106"/>
    <mergeCell ref="AB105:AC106"/>
    <mergeCell ref="Z107:AA108"/>
    <mergeCell ref="AB107:AC108"/>
    <mergeCell ref="Z110:AC110"/>
    <mergeCell ref="Z111:AC111"/>
    <mergeCell ref="Z112:AC112"/>
    <mergeCell ref="P61:S61"/>
    <mergeCell ref="P62:S62"/>
    <mergeCell ref="P63:S63"/>
    <mergeCell ref="P64:S64"/>
    <mergeCell ref="P65:S65"/>
    <mergeCell ref="P66:S66"/>
    <mergeCell ref="P67:S67"/>
    <mergeCell ref="P68:S68"/>
    <mergeCell ref="P69:S69"/>
    <mergeCell ref="P5:V5"/>
    <mergeCell ref="P7:V7"/>
    <mergeCell ref="Q6:U6"/>
    <mergeCell ref="A8:G8"/>
    <mergeCell ref="A6:B6"/>
    <mergeCell ref="E6:F6"/>
    <mergeCell ref="I6:J6"/>
    <mergeCell ref="G6:H6"/>
    <mergeCell ref="M6:N6"/>
    <mergeCell ref="P8:R8"/>
    <mergeCell ref="D10:E10"/>
    <mergeCell ref="K6:L6"/>
    <mergeCell ref="Z1:AA2"/>
    <mergeCell ref="AB1:AC2"/>
    <mergeCell ref="Z3:AA4"/>
    <mergeCell ref="AB3:AC4"/>
    <mergeCell ref="Z5:AC5"/>
    <mergeCell ref="Z6:AC6"/>
    <mergeCell ref="K1:M1"/>
    <mergeCell ref="K2:M2"/>
    <mergeCell ref="P74:S74"/>
    <mergeCell ref="P75:S75"/>
    <mergeCell ref="J139:W139"/>
    <mergeCell ref="I144:I145"/>
    <mergeCell ref="I136:I137"/>
    <mergeCell ref="I138:I139"/>
    <mergeCell ref="I140:I141"/>
    <mergeCell ref="I142:I143"/>
    <mergeCell ref="P76:S76"/>
    <mergeCell ref="P77:S77"/>
    <mergeCell ref="P70:S70"/>
    <mergeCell ref="P71:S71"/>
    <mergeCell ref="P72:S72"/>
    <mergeCell ref="P73:S73"/>
    <mergeCell ref="A68:G68"/>
    <mergeCell ref="I13:K13"/>
    <mergeCell ref="I14:K14"/>
    <mergeCell ref="A14:C14"/>
    <mergeCell ref="A15:C15"/>
    <mergeCell ref="I68:N68"/>
    <mergeCell ref="G35:H35"/>
    <mergeCell ref="A36:C36"/>
    <mergeCell ref="A23:K23"/>
    <mergeCell ref="I61:N61"/>
    <mergeCell ref="A54:G54"/>
    <mergeCell ref="L14:M14"/>
    <mergeCell ref="Q15:U15"/>
    <mergeCell ref="A67:G67"/>
    <mergeCell ref="P57:S57"/>
    <mergeCell ref="T53:U53"/>
    <mergeCell ref="T54:U54"/>
    <mergeCell ref="T55:U55"/>
    <mergeCell ref="P54:S54"/>
    <mergeCell ref="P55:S55"/>
    <mergeCell ref="A20:B20"/>
    <mergeCell ref="D14:E14"/>
    <mergeCell ref="A19:B19"/>
    <mergeCell ref="D19:E19"/>
    <mergeCell ref="D18:E18"/>
    <mergeCell ref="Q17:U17"/>
    <mergeCell ref="R14:U14"/>
    <mergeCell ref="P53:S53"/>
    <mergeCell ref="D20:E20"/>
    <mergeCell ref="L18:N18"/>
    <mergeCell ref="I51:K51"/>
    <mergeCell ref="L51:M51"/>
    <mergeCell ref="L52:M52"/>
    <mergeCell ref="I53:N53"/>
    <mergeCell ref="Q38:S38"/>
    <mergeCell ref="A55:G55"/>
    <mergeCell ref="A56:G56"/>
    <mergeCell ref="A57:G57"/>
    <mergeCell ref="P56:S56"/>
    <mergeCell ref="I57:N57"/>
    <mergeCell ref="I56:N56"/>
    <mergeCell ref="A59:G59"/>
    <mergeCell ref="A60:G60"/>
    <mergeCell ref="A64:G64"/>
    <mergeCell ref="A61:G61"/>
    <mergeCell ref="A62:G62"/>
    <mergeCell ref="Z7:AC7"/>
    <mergeCell ref="Z8:AC8"/>
    <mergeCell ref="Z57:AC57"/>
    <mergeCell ref="Z58:AC58"/>
    <mergeCell ref="AB31:AE31"/>
    <mergeCell ref="AB29:AD29"/>
    <mergeCell ref="Z53:AA54"/>
    <mergeCell ref="AB53:AC54"/>
    <mergeCell ref="Z55:AA56"/>
    <mergeCell ref="AB55:AC56"/>
    <mergeCell ref="B45:C45"/>
    <mergeCell ref="I52:K52"/>
    <mergeCell ref="Z109:AC109"/>
    <mergeCell ref="Z163:AC163"/>
    <mergeCell ref="J144:W144"/>
    <mergeCell ref="J141:W141"/>
    <mergeCell ref="S157:X157"/>
    <mergeCell ref="P130:W130"/>
    <mergeCell ref="J145:W145"/>
    <mergeCell ref="J146:W146"/>
    <mergeCell ref="Z164:AC164"/>
    <mergeCell ref="W158:X158"/>
    <mergeCell ref="W163:X163"/>
    <mergeCell ref="Z161:AC161"/>
    <mergeCell ref="Z162:AC162"/>
    <mergeCell ref="Z159:AA160"/>
    <mergeCell ref="AB159:AC160"/>
    <mergeCell ref="W159:X159"/>
    <mergeCell ref="W160:X160"/>
    <mergeCell ref="W161:X161"/>
    <mergeCell ref="I90:N90"/>
    <mergeCell ref="J140:W140"/>
    <mergeCell ref="J151:W151"/>
    <mergeCell ref="J147:W147"/>
    <mergeCell ref="J148:W148"/>
    <mergeCell ref="J149:W149"/>
    <mergeCell ref="J150:W150"/>
    <mergeCell ref="J136:W136"/>
    <mergeCell ref="J137:W137"/>
    <mergeCell ref="J138:W138"/>
    <mergeCell ref="J142:W142"/>
    <mergeCell ref="J143:W143"/>
    <mergeCell ref="I152:I153"/>
    <mergeCell ref="I154:I155"/>
    <mergeCell ref="I146:I147"/>
    <mergeCell ref="I148:I149"/>
    <mergeCell ref="I150:I151"/>
    <mergeCell ref="S159:V159"/>
    <mergeCell ref="S162:V162"/>
    <mergeCell ref="S161:V161"/>
    <mergeCell ref="S158:V158"/>
    <mergeCell ref="W175:X175"/>
    <mergeCell ref="W174:X174"/>
    <mergeCell ref="W162:X162"/>
    <mergeCell ref="V167:X167"/>
    <mergeCell ref="S165:X165"/>
    <mergeCell ref="S166:U166"/>
    <mergeCell ref="V166:X166"/>
    <mergeCell ref="V170:X170"/>
    <mergeCell ref="S167:U167"/>
    <mergeCell ref="S168:U168"/>
    <mergeCell ref="S169:U169"/>
    <mergeCell ref="S170:U170"/>
    <mergeCell ref="V168:X168"/>
    <mergeCell ref="N33:O33"/>
    <mergeCell ref="P33:Q33"/>
    <mergeCell ref="N34:O34"/>
    <mergeCell ref="P34:Q34"/>
    <mergeCell ref="Q46:S46"/>
    <mergeCell ref="S163:V163"/>
    <mergeCell ref="S160:V160"/>
    <mergeCell ref="U207:X207"/>
    <mergeCell ref="S173:X173"/>
    <mergeCell ref="V171:X171"/>
    <mergeCell ref="R206:V206"/>
    <mergeCell ref="W206:X206"/>
    <mergeCell ref="S207:T207"/>
    <mergeCell ref="S171:U171"/>
    <mergeCell ref="S174:V174"/>
    <mergeCell ref="S177:V177"/>
    <mergeCell ref="S175:V175"/>
    <mergeCell ref="A98:E98"/>
    <mergeCell ref="F96:G96"/>
    <mergeCell ref="F97:G97"/>
    <mergeCell ref="F98:G98"/>
    <mergeCell ref="A96:E96"/>
    <mergeCell ref="A97:E97"/>
    <mergeCell ref="V169:X169"/>
    <mergeCell ref="A53:G53"/>
    <mergeCell ref="A74:G74"/>
    <mergeCell ref="A75:G75"/>
    <mergeCell ref="A69:G69"/>
    <mergeCell ref="A70:G70"/>
    <mergeCell ref="A71:G71"/>
    <mergeCell ref="A72:G72"/>
    <mergeCell ref="A66:G66"/>
    <mergeCell ref="A65:G65"/>
    <mergeCell ref="A58:G58"/>
    <mergeCell ref="I88:M88"/>
    <mergeCell ref="A88:G88"/>
    <mergeCell ref="A86:G86"/>
    <mergeCell ref="A78:G78"/>
    <mergeCell ref="I79:N79"/>
    <mergeCell ref="A87:G87"/>
    <mergeCell ref="I86:N86"/>
    <mergeCell ref="I87:M87"/>
    <mergeCell ref="A79:G79"/>
    <mergeCell ref="O45:P45"/>
    <mergeCell ref="I59:N59"/>
    <mergeCell ref="L48:M48"/>
    <mergeCell ref="L49:M49"/>
    <mergeCell ref="L50:M50"/>
    <mergeCell ref="I54:N54"/>
    <mergeCell ref="I58:N58"/>
    <mergeCell ref="P58:S58"/>
    <mergeCell ref="P59:S59"/>
    <mergeCell ref="Q51:X51"/>
    <mergeCell ref="I77:N77"/>
    <mergeCell ref="I78:N78"/>
    <mergeCell ref="A76:G76"/>
    <mergeCell ref="O46:P46"/>
    <mergeCell ref="I74:N74"/>
    <mergeCell ref="I75:N75"/>
    <mergeCell ref="I76:N76"/>
    <mergeCell ref="I60:N60"/>
    <mergeCell ref="P60:S60"/>
    <mergeCell ref="A73:G73"/>
    <mergeCell ref="V17:X17"/>
    <mergeCell ref="W35:X35"/>
    <mergeCell ref="W43:X43"/>
    <mergeCell ref="Q45:X45"/>
    <mergeCell ref="U35:V35"/>
    <mergeCell ref="P40:Q40"/>
    <mergeCell ref="P27:Q27"/>
    <mergeCell ref="P26:Q26"/>
    <mergeCell ref="U27:V27"/>
    <mergeCell ref="U28:V28"/>
  </mergeCells>
  <dataValidations count="1">
    <dataValidation type="list" allowBlank="1" showInputMessage="1" showErrorMessage="1" sqref="K2:M2">
      <formula1>"raging, blinded, cowering, dazzled, deafened, entangled, exhausted, fatigued, helpless, shaken, sickened, stunned"</formula1>
    </dataValidation>
  </dataValidations>
  <hyperlinks>
    <hyperlink ref="P7" r:id="rId1" display="http://www.freenet.edmonton.ab.ca/~buhrger/dnd/"/>
    <hyperlink ref="AB1" location="Skills!A1" display="Skills"/>
    <hyperlink ref="Z3" location="Feats!A1" display="Feats"/>
    <hyperlink ref="AB3" location="Gear!A1" display="Gear"/>
    <hyperlink ref="Z1:AA2" location="Begin!A1" display="Begin"/>
    <hyperlink ref="AB53" location="Skills!A1" display="Skills"/>
    <hyperlink ref="Z55" location="Feats!A1" display="Feats"/>
    <hyperlink ref="AB55" location="Gear!A1" display="Gear"/>
    <hyperlink ref="Z53:AA54" location="Begin!A1" display="Begin"/>
    <hyperlink ref="AB105" location="Skills!A1" display="Skills"/>
    <hyperlink ref="Z107" location="Feats!A1" display="Feats"/>
    <hyperlink ref="AB107" location="Gear!A1" display="Gear"/>
    <hyperlink ref="Z105:AA106" location="Begin!A1" display="Begin"/>
    <hyperlink ref="AB157" location="Skills!A1" display="Skills"/>
    <hyperlink ref="Z159" location="Feats!A1" display="Feats"/>
    <hyperlink ref="AB159" location="Gear!A1" display="Gear"/>
    <hyperlink ref="Z157:AA158" location="Begin!A1" display="Begin"/>
    <hyperlink ref="Z6:AC6" location="Sheet!A54" display="Page 2"/>
    <hyperlink ref="Z7:AC7" location="Sheet!A107" display="Page 3"/>
    <hyperlink ref="Z8:AC8" location="Sheet!A160" display="Page 4"/>
    <hyperlink ref="Z57:AC57" location="Sheet!A1" display="Page 1"/>
    <hyperlink ref="Z59:AC59" location="Sheet!A107" display="Page 3"/>
    <hyperlink ref="Z60:AC60" location="Sheet!A160" display="Page 4"/>
    <hyperlink ref="Z109:AC109" location="Sheet!A1" display="Page 1"/>
    <hyperlink ref="Z110:AC110" location="Sheet!A54" display="Page 2"/>
    <hyperlink ref="Z112:AC112" location="Sheet!A160" display="Page 4"/>
    <hyperlink ref="Z161:AC161" location="Sheet!A1" display="Page 1"/>
    <hyperlink ref="Z162:AC162" location="Sheet!A54" display="Page 2"/>
    <hyperlink ref="Z163:AC163" location="Sheet!A107" display="Page 3"/>
  </hyperlinks>
  <printOptions/>
  <pageMargins left="0.75" right="0.75" top="1" bottom="1" header="0.5" footer="0.5"/>
  <pageSetup horizontalDpi="200" verticalDpi="200" orientation="portrait" r:id="rId3"/>
  <rowBreaks count="3" manualBreakCount="3">
    <brk id="52" max="23" man="1"/>
    <brk id="104" max="23" man="1"/>
    <brk id="156" max="23" man="1"/>
  </rowBreaks>
  <drawing r:id="rId2"/>
</worksheet>
</file>

<file path=xl/worksheets/sheet6.xml><?xml version="1.0" encoding="utf-8"?>
<worksheet xmlns="http://schemas.openxmlformats.org/spreadsheetml/2006/main" xmlns:r="http://schemas.openxmlformats.org/officeDocument/2006/relationships">
  <dimension ref="A1:BJ47"/>
  <sheetViews>
    <sheetView workbookViewId="0" topLeftCell="A1">
      <pane xSplit="1" topLeftCell="B1" activePane="topRight" state="frozen"/>
      <selection pane="topLeft" activeCell="A1" sqref="A1"/>
      <selection pane="topRight" activeCell="K20" sqref="K20"/>
    </sheetView>
  </sheetViews>
  <sheetFormatPr defaultColWidth="9.140625" defaultRowHeight="12.75"/>
  <cols>
    <col min="1" max="16384" width="9.140625" style="18" customWidth="1"/>
  </cols>
  <sheetData>
    <row r="1" spans="6:8" ht="12.75">
      <c r="F1" s="247" t="s">
        <v>381</v>
      </c>
      <c r="G1" s="247"/>
      <c r="H1" s="247"/>
    </row>
    <row r="2" spans="1:62" ht="12.75">
      <c r="A2" s="17" t="s">
        <v>50</v>
      </c>
      <c r="B2" s="18" t="s">
        <v>51</v>
      </c>
      <c r="C2" s="18" t="s">
        <v>29</v>
      </c>
      <c r="D2" s="18" t="s">
        <v>52</v>
      </c>
      <c r="E2" s="18" t="s">
        <v>53</v>
      </c>
      <c r="F2" s="18" t="s">
        <v>54</v>
      </c>
      <c r="G2" s="18" t="s">
        <v>56</v>
      </c>
      <c r="H2" s="18" t="s">
        <v>55</v>
      </c>
      <c r="I2" s="18" t="s">
        <v>57</v>
      </c>
      <c r="J2" s="18" t="s">
        <v>303</v>
      </c>
      <c r="K2" s="18" t="s">
        <v>130</v>
      </c>
      <c r="L2" s="18" t="s">
        <v>131</v>
      </c>
      <c r="M2" s="18" t="s">
        <v>132</v>
      </c>
      <c r="N2" s="18" t="s">
        <v>133</v>
      </c>
      <c r="O2" s="18" t="s">
        <v>174</v>
      </c>
      <c r="P2" s="18" t="str">
        <f>"Craft ("&amp;Skills!L5&amp;")"</f>
        <v>Craft ()</v>
      </c>
      <c r="Q2" s="18" t="str">
        <f>"Craft ("&amp;Skills!M5&amp;")"</f>
        <v>Craft ()</v>
      </c>
      <c r="R2" s="18" t="str">
        <f>"Craft ("&amp;Skills!N5&amp;")"</f>
        <v>Craft ()</v>
      </c>
      <c r="S2" s="18" t="s">
        <v>175</v>
      </c>
      <c r="T2" s="18" t="s">
        <v>176</v>
      </c>
      <c r="U2" s="18" t="s">
        <v>177</v>
      </c>
      <c r="V2" s="18" t="s">
        <v>139</v>
      </c>
      <c r="W2" s="18" t="s">
        <v>178</v>
      </c>
      <c r="X2" s="18" t="s">
        <v>141</v>
      </c>
      <c r="Y2" s="18" t="s">
        <v>179</v>
      </c>
      <c r="Z2" s="18" t="s">
        <v>180</v>
      </c>
      <c r="AA2" s="18" t="s">
        <v>144</v>
      </c>
      <c r="AB2" s="18" t="s">
        <v>145</v>
      </c>
      <c r="AC2" s="18" t="s">
        <v>181</v>
      </c>
      <c r="AD2" s="18" t="s">
        <v>147</v>
      </c>
      <c r="AE2" s="18" t="s">
        <v>854</v>
      </c>
      <c r="AF2" s="18" t="s">
        <v>856</v>
      </c>
      <c r="AG2" s="18" t="s">
        <v>855</v>
      </c>
      <c r="AH2" s="18" t="s">
        <v>857</v>
      </c>
      <c r="AI2" s="18" t="s">
        <v>858</v>
      </c>
      <c r="AJ2" s="18" t="s">
        <v>859</v>
      </c>
      <c r="AK2" s="18" t="s">
        <v>860</v>
      </c>
      <c r="AL2" s="18" t="s">
        <v>861</v>
      </c>
      <c r="AM2" s="18" t="s">
        <v>862</v>
      </c>
      <c r="AN2" s="18" t="s">
        <v>863</v>
      </c>
      <c r="AO2" s="18" t="str">
        <f>"Kno. ("&amp;Skills!AK5&amp;")"</f>
        <v>Kno. ()</v>
      </c>
      <c r="AP2" s="18" t="s">
        <v>155</v>
      </c>
      <c r="AQ2" s="18" t="s">
        <v>182</v>
      </c>
      <c r="AR2" s="18" t="s">
        <v>183</v>
      </c>
      <c r="AS2" s="18" t="str">
        <f>"Perform ("&amp;Skills!AO5&amp;")"</f>
        <v>Perform ()</v>
      </c>
      <c r="AT2" s="18" t="str">
        <f>"Perform ("&amp;Skills!AP5&amp;")"</f>
        <v>Perform ()</v>
      </c>
      <c r="AU2" s="18" t="str">
        <f>"Perform ("&amp;Skills!AQ5&amp;")"</f>
        <v>Perform ()</v>
      </c>
      <c r="AV2" s="18" t="str">
        <f>"Profession ("&amp;Skills!AR5&amp;")"</f>
        <v>Profession ()</v>
      </c>
      <c r="AW2" s="18" t="str">
        <f>"Profession ("&amp;Skills!AS5&amp;")"</f>
        <v>Profession ()</v>
      </c>
      <c r="AX2" s="18" t="s">
        <v>160</v>
      </c>
      <c r="AY2" s="18" t="s">
        <v>161</v>
      </c>
      <c r="AZ2" s="18" t="s">
        <v>184</v>
      </c>
      <c r="BA2" s="18" t="s">
        <v>185</v>
      </c>
      <c r="BB2" s="18" t="s">
        <v>186</v>
      </c>
      <c r="BC2" s="18" t="s">
        <v>165</v>
      </c>
      <c r="BD2" s="18" t="s">
        <v>166</v>
      </c>
      <c r="BE2" s="18" t="s">
        <v>167</v>
      </c>
      <c r="BF2" s="18" t="s">
        <v>168</v>
      </c>
      <c r="BG2" s="18" t="s">
        <v>169</v>
      </c>
      <c r="BH2" s="18" t="s">
        <v>187</v>
      </c>
      <c r="BI2" s="18" t="s">
        <v>188</v>
      </c>
      <c r="BJ2" s="18" t="str">
        <f>"Custom ("&amp;Skills!BF5&amp;")"</f>
        <v>Custom ()</v>
      </c>
    </row>
    <row r="3" spans="1:62" ht="12.75">
      <c r="A3" s="18" t="s">
        <v>34</v>
      </c>
      <c r="B3" s="18" t="s">
        <v>58</v>
      </c>
      <c r="C3" s="18">
        <f>COUNTIF(Begin!$G$12:$I$31,A3)</f>
        <v>0</v>
      </c>
      <c r="D3" s="19" t="s">
        <v>74</v>
      </c>
      <c r="E3" s="18">
        <f>TRUNC(C3/2)</f>
        <v>0</v>
      </c>
      <c r="F3" s="18">
        <f>TRUNC(C3/3)</f>
        <v>0</v>
      </c>
      <c r="G3" s="18">
        <f>TRUNC(C3/3)</f>
        <v>0</v>
      </c>
      <c r="H3" s="18">
        <f>IF(C3=0,0,TRUNC(C3/2)+2)</f>
        <v>0</v>
      </c>
      <c r="I3" s="19">
        <v>2</v>
      </c>
      <c r="J3" s="19" t="b">
        <v>1</v>
      </c>
      <c r="K3" s="18" t="b">
        <v>0</v>
      </c>
      <c r="L3" s="18" t="b">
        <v>0</v>
      </c>
      <c r="M3" s="18" t="b">
        <v>0</v>
      </c>
      <c r="N3" s="18" t="b">
        <v>0</v>
      </c>
      <c r="O3" s="18" t="b">
        <v>1</v>
      </c>
      <c r="P3" s="18" t="b">
        <v>1</v>
      </c>
      <c r="Q3" s="18" t="b">
        <v>1</v>
      </c>
      <c r="R3" s="18" t="b">
        <v>1</v>
      </c>
      <c r="S3" s="18" t="b">
        <v>0</v>
      </c>
      <c r="T3" s="18" t="b">
        <v>0</v>
      </c>
      <c r="U3" s="18" t="b">
        <v>0</v>
      </c>
      <c r="V3" s="18" t="b">
        <v>0</v>
      </c>
      <c r="W3" s="18" t="b">
        <v>0</v>
      </c>
      <c r="X3" s="18" t="b">
        <v>0</v>
      </c>
      <c r="Y3" s="18" t="b">
        <v>0</v>
      </c>
      <c r="Z3" s="18" t="b">
        <v>1</v>
      </c>
      <c r="AA3" s="18" t="b">
        <v>1</v>
      </c>
      <c r="AB3" s="18" t="b">
        <v>0</v>
      </c>
      <c r="AC3" s="18" t="b">
        <v>0</v>
      </c>
      <c r="AD3" s="18" t="b">
        <v>0</v>
      </c>
      <c r="AE3" s="18" t="b">
        <v>1</v>
      </c>
      <c r="AF3" s="18" t="b">
        <v>1</v>
      </c>
      <c r="AG3" s="18" t="b">
        <v>1</v>
      </c>
      <c r="AH3" s="18" t="b">
        <v>1</v>
      </c>
      <c r="AI3" s="18" t="b">
        <v>1</v>
      </c>
      <c r="AJ3" s="18" t="b">
        <v>1</v>
      </c>
      <c r="AK3" s="18" t="b">
        <v>1</v>
      </c>
      <c r="AL3" s="18" t="b">
        <v>1</v>
      </c>
      <c r="AM3" s="18" t="b">
        <v>1</v>
      </c>
      <c r="AN3" s="18" t="b">
        <v>1</v>
      </c>
      <c r="AO3" s="18" t="b">
        <v>1</v>
      </c>
      <c r="AP3" s="18" t="b">
        <v>0</v>
      </c>
      <c r="AQ3" s="18" t="b">
        <v>0</v>
      </c>
      <c r="AR3" s="18" t="b">
        <v>0</v>
      </c>
      <c r="AS3" s="18" t="b">
        <v>0</v>
      </c>
      <c r="AT3" s="18" t="b">
        <v>0</v>
      </c>
      <c r="AU3" s="18" t="b">
        <v>0</v>
      </c>
      <c r="AV3" s="18" t="b">
        <v>1</v>
      </c>
      <c r="AW3" s="18" t="b">
        <v>1</v>
      </c>
      <c r="AX3" s="18" t="b">
        <v>0</v>
      </c>
      <c r="AY3" s="18" t="b">
        <v>0</v>
      </c>
      <c r="AZ3" s="18" t="b">
        <v>0</v>
      </c>
      <c r="BA3" s="18" t="b">
        <v>0</v>
      </c>
      <c r="BB3" s="18" t="b">
        <v>0</v>
      </c>
      <c r="BC3" s="18" t="b">
        <v>1</v>
      </c>
      <c r="BD3" s="18" t="b">
        <v>0</v>
      </c>
      <c r="BE3" s="18" t="b">
        <v>1</v>
      </c>
      <c r="BF3" s="18" t="b">
        <v>0</v>
      </c>
      <c r="BG3" s="18" t="b">
        <v>0</v>
      </c>
      <c r="BH3" s="18" t="b">
        <v>0</v>
      </c>
      <c r="BI3" s="18" t="b">
        <v>0</v>
      </c>
      <c r="BJ3" s="18" t="b">
        <v>0</v>
      </c>
    </row>
    <row r="4" spans="1:62" ht="12.75">
      <c r="A4" s="18" t="s">
        <v>35</v>
      </c>
      <c r="B4" s="18" t="s">
        <v>59</v>
      </c>
      <c r="C4" s="18">
        <f>COUNTIF(Begin!$G$12:$I$31,A4)</f>
        <v>0</v>
      </c>
      <c r="D4" s="19" t="s">
        <v>75</v>
      </c>
      <c r="E4" s="18">
        <f>TRUNC(C4*3/4)</f>
        <v>0</v>
      </c>
      <c r="F4" s="18">
        <f>TRUNC(C4/3)</f>
        <v>0</v>
      </c>
      <c r="G4" s="18">
        <f>TRUNC(C4/3)</f>
        <v>0</v>
      </c>
      <c r="H4" s="18">
        <f>IF(C4=0,0,TRUNC(C4/2)+2)</f>
        <v>0</v>
      </c>
      <c r="I4" s="19">
        <v>4</v>
      </c>
      <c r="J4" s="19" t="b">
        <v>1</v>
      </c>
      <c r="K4" s="18" t="b">
        <v>1</v>
      </c>
      <c r="L4" s="18" t="b">
        <v>1</v>
      </c>
      <c r="M4" s="18" t="b">
        <v>0</v>
      </c>
      <c r="N4" s="18" t="b">
        <v>0</v>
      </c>
      <c r="O4" s="18" t="b">
        <v>0</v>
      </c>
      <c r="P4" s="18" t="b">
        <v>0</v>
      </c>
      <c r="Q4" s="18" t="b">
        <v>0</v>
      </c>
      <c r="R4" s="18" t="b">
        <v>0</v>
      </c>
      <c r="S4" s="18" t="b">
        <v>0</v>
      </c>
      <c r="T4" s="18" t="b">
        <v>1</v>
      </c>
      <c r="U4" s="18" t="b">
        <v>0</v>
      </c>
      <c r="V4" s="18" t="b">
        <v>1</v>
      </c>
      <c r="W4" s="18" t="b">
        <v>0</v>
      </c>
      <c r="X4" s="18" t="b">
        <v>1</v>
      </c>
      <c r="Y4" s="18" t="b">
        <v>1</v>
      </c>
      <c r="Z4" s="18" t="b">
        <v>1</v>
      </c>
      <c r="AA4" s="18" t="b">
        <v>0</v>
      </c>
      <c r="AB4" s="18" t="b">
        <v>0</v>
      </c>
      <c r="AC4" s="18" t="b">
        <v>1</v>
      </c>
      <c r="AD4" s="18" t="b">
        <v>0</v>
      </c>
      <c r="AE4" s="18" t="b">
        <v>1</v>
      </c>
      <c r="AF4" s="18" t="b">
        <v>1</v>
      </c>
      <c r="AG4" s="18" t="b">
        <v>1</v>
      </c>
      <c r="AH4" s="18" t="b">
        <v>1</v>
      </c>
      <c r="AI4" s="18" t="b">
        <v>1</v>
      </c>
      <c r="AJ4" s="18" t="b">
        <v>1</v>
      </c>
      <c r="AK4" s="18" t="b">
        <v>1</v>
      </c>
      <c r="AL4" s="18" t="b">
        <v>1</v>
      </c>
      <c r="AM4" s="18" t="b">
        <v>1</v>
      </c>
      <c r="AN4" s="18" t="b">
        <v>1</v>
      </c>
      <c r="AO4" s="18" t="b">
        <v>1</v>
      </c>
      <c r="AP4" s="18" t="b">
        <v>1</v>
      </c>
      <c r="AQ4" s="18" t="b">
        <v>0</v>
      </c>
      <c r="AR4" s="18" t="b">
        <v>0</v>
      </c>
      <c r="AS4" s="18" t="b">
        <v>1</v>
      </c>
      <c r="AT4" s="18" t="b">
        <v>1</v>
      </c>
      <c r="AU4" s="18" t="b">
        <v>1</v>
      </c>
      <c r="AV4" s="18" t="b">
        <v>0</v>
      </c>
      <c r="AW4" s="18" t="b">
        <v>0</v>
      </c>
      <c r="AX4" s="18" t="b">
        <v>1</v>
      </c>
      <c r="AY4" s="18" t="b">
        <v>0</v>
      </c>
      <c r="AZ4" s="18" t="b">
        <v>1</v>
      </c>
      <c r="BA4" s="18" t="b">
        <v>0</v>
      </c>
      <c r="BB4" s="18" t="b">
        <v>1</v>
      </c>
      <c r="BC4" s="18" t="b">
        <v>0</v>
      </c>
      <c r="BD4" s="18" t="b">
        <v>1</v>
      </c>
      <c r="BE4" s="18" t="b">
        <v>1</v>
      </c>
      <c r="BF4" s="18" t="b">
        <v>1</v>
      </c>
      <c r="BG4" s="18" t="b">
        <v>0</v>
      </c>
      <c r="BH4" s="18" t="b">
        <v>0</v>
      </c>
      <c r="BI4" s="18" t="b">
        <v>0</v>
      </c>
      <c r="BJ4" s="18" t="b">
        <v>0</v>
      </c>
    </row>
    <row r="5" spans="1:62" ht="12.75">
      <c r="A5" s="18" t="s">
        <v>36</v>
      </c>
      <c r="B5" s="18" t="s">
        <v>60</v>
      </c>
      <c r="C5" s="18">
        <f>COUNTIF(Begin!$G$12:$I$31,A5)</f>
        <v>0</v>
      </c>
      <c r="D5" s="19" t="s">
        <v>76</v>
      </c>
      <c r="E5" s="18">
        <f>C5</f>
        <v>0</v>
      </c>
      <c r="F5" s="18">
        <f>IF(C5=0,0,TRUNC(C5/2)+2)</f>
        <v>0</v>
      </c>
      <c r="G5" s="18">
        <f>TRUNC(C5/3)</f>
        <v>0</v>
      </c>
      <c r="H5" s="18">
        <f>TRUNC(C5/3)</f>
        <v>0</v>
      </c>
      <c r="I5" s="19">
        <v>4</v>
      </c>
      <c r="J5" s="19" t="b">
        <f>AND(Alignment&lt;&gt;"Lawful Good",Alignment&lt;&gt;"Lawful Neutral",Alignment&lt;&gt;"Lawful Evil")</f>
        <v>1</v>
      </c>
      <c r="K5" s="18" t="b">
        <v>0</v>
      </c>
      <c r="L5" s="18" t="b">
        <v>0</v>
      </c>
      <c r="M5" s="18" t="b">
        <v>0</v>
      </c>
      <c r="N5" s="18" t="b">
        <v>1</v>
      </c>
      <c r="O5" s="18" t="b">
        <v>0</v>
      </c>
      <c r="P5" s="18" t="b">
        <v>1</v>
      </c>
      <c r="Q5" s="18" t="b">
        <v>1</v>
      </c>
      <c r="R5" s="18" t="b">
        <v>1</v>
      </c>
      <c r="S5" s="18" t="b">
        <v>0</v>
      </c>
      <c r="T5" s="18" t="b">
        <v>0</v>
      </c>
      <c r="U5" s="18" t="b">
        <v>0</v>
      </c>
      <c r="V5" s="18" t="b">
        <v>0</v>
      </c>
      <c r="W5" s="18" t="b">
        <v>0</v>
      </c>
      <c r="X5" s="18" t="b">
        <v>0</v>
      </c>
      <c r="Y5" s="18" t="b">
        <v>0</v>
      </c>
      <c r="Z5" s="18" t="b">
        <v>1</v>
      </c>
      <c r="AA5" s="18" t="b">
        <v>0</v>
      </c>
      <c r="AB5" s="18" t="b">
        <v>0</v>
      </c>
      <c r="AC5" s="18" t="b">
        <v>1</v>
      </c>
      <c r="AD5" s="18" t="b">
        <v>1</v>
      </c>
      <c r="AE5" s="18" t="b">
        <v>0</v>
      </c>
      <c r="AF5" s="18" t="b">
        <v>0</v>
      </c>
      <c r="AG5" s="18" t="b">
        <v>0</v>
      </c>
      <c r="AH5" s="18" t="b">
        <v>0</v>
      </c>
      <c r="AI5" s="18" t="b">
        <v>0</v>
      </c>
      <c r="AJ5" s="18" t="b">
        <v>0</v>
      </c>
      <c r="AK5" s="18" t="b">
        <v>0</v>
      </c>
      <c r="AL5" s="18" t="b">
        <v>0</v>
      </c>
      <c r="AM5" s="18" t="b">
        <v>0</v>
      </c>
      <c r="AN5" s="18" t="b">
        <v>0</v>
      </c>
      <c r="AO5" s="18" t="b">
        <v>0</v>
      </c>
      <c r="AP5" s="18" t="b">
        <v>1</v>
      </c>
      <c r="AQ5" s="18" t="b">
        <v>0</v>
      </c>
      <c r="AR5" s="18" t="b">
        <v>0</v>
      </c>
      <c r="AS5" s="18" t="b">
        <v>0</v>
      </c>
      <c r="AT5" s="18" t="b">
        <v>0</v>
      </c>
      <c r="AU5" s="18" t="b">
        <v>0</v>
      </c>
      <c r="AV5" s="18" t="b">
        <v>0</v>
      </c>
      <c r="AW5" s="18" t="b">
        <v>0</v>
      </c>
      <c r="AX5" s="18" t="b">
        <v>1</v>
      </c>
      <c r="AY5" s="18" t="b">
        <v>0</v>
      </c>
      <c r="AZ5" s="18" t="b">
        <v>0</v>
      </c>
      <c r="BA5" s="18" t="b">
        <v>0</v>
      </c>
      <c r="BB5" s="18" t="b">
        <v>0</v>
      </c>
      <c r="BC5" s="18" t="b">
        <v>0</v>
      </c>
      <c r="BD5" s="18" t="b">
        <v>0</v>
      </c>
      <c r="BE5" s="18" t="b">
        <v>1</v>
      </c>
      <c r="BF5" s="18" t="b">
        <v>1</v>
      </c>
      <c r="BG5" s="18" t="b">
        <v>0</v>
      </c>
      <c r="BH5" s="18" t="b">
        <v>0</v>
      </c>
      <c r="BI5" s="18" t="b">
        <v>0</v>
      </c>
      <c r="BJ5" s="18" t="b">
        <v>0</v>
      </c>
    </row>
    <row r="6" spans="1:62" ht="12.75">
      <c r="A6" s="18" t="s">
        <v>37</v>
      </c>
      <c r="B6" s="18" t="s">
        <v>61</v>
      </c>
      <c r="C6" s="18">
        <f>COUNTIF(Begin!$G$12:$I$31,A6)</f>
        <v>0</v>
      </c>
      <c r="D6" s="19" t="s">
        <v>74</v>
      </c>
      <c r="E6" s="18">
        <f>TRUNC(C6*3/4)</f>
        <v>0</v>
      </c>
      <c r="F6" s="18">
        <f>TRUNC(C6/3)</f>
        <v>0</v>
      </c>
      <c r="G6" s="18">
        <f>IF(C6=0,0,TRUNC(C6/2)+2)</f>
        <v>0</v>
      </c>
      <c r="H6" s="18">
        <f>IF(C6=0,0,TRUNC(C6/2)+2)</f>
        <v>0</v>
      </c>
      <c r="I6" s="19">
        <v>6</v>
      </c>
      <c r="J6" s="19" t="b">
        <f>AND(Alignment&lt;&gt;"Lawful Good",Alignment&lt;&gt;"Lawful Neutral",Alignment&lt;&gt;"Lawful Evil")</f>
        <v>1</v>
      </c>
      <c r="K6" s="18" t="b">
        <v>1</v>
      </c>
      <c r="L6" s="18" t="b">
        <v>1</v>
      </c>
      <c r="M6" s="18" t="b">
        <v>1</v>
      </c>
      <c r="N6" s="18" t="b">
        <v>1</v>
      </c>
      <c r="O6" s="18" t="b">
        <v>1</v>
      </c>
      <c r="P6" s="18" t="b">
        <v>1</v>
      </c>
      <c r="Q6" s="18" t="b">
        <v>1</v>
      </c>
      <c r="R6" s="18" t="b">
        <v>1</v>
      </c>
      <c r="S6" s="18" t="b">
        <v>1</v>
      </c>
      <c r="T6" s="18" t="b">
        <v>1</v>
      </c>
      <c r="U6" s="18" t="b">
        <v>0</v>
      </c>
      <c r="V6" s="18" t="b">
        <v>1</v>
      </c>
      <c r="W6" s="18" t="b">
        <v>1</v>
      </c>
      <c r="X6" s="18" t="b">
        <v>0</v>
      </c>
      <c r="Y6" s="18" t="b">
        <v>1</v>
      </c>
      <c r="Z6" s="18" t="b">
        <v>0</v>
      </c>
      <c r="AA6" s="18" t="b">
        <v>0</v>
      </c>
      <c r="AB6" s="18" t="b">
        <v>1</v>
      </c>
      <c r="AC6" s="18" t="b">
        <v>0</v>
      </c>
      <c r="AD6" s="18" t="b">
        <v>1</v>
      </c>
      <c r="AE6" s="18" t="b">
        <v>1</v>
      </c>
      <c r="AF6" s="18" t="b">
        <v>1</v>
      </c>
      <c r="AG6" s="18" t="b">
        <v>1</v>
      </c>
      <c r="AH6" s="18" t="b">
        <v>1</v>
      </c>
      <c r="AI6" s="18" t="b">
        <v>1</v>
      </c>
      <c r="AJ6" s="18" t="b">
        <v>1</v>
      </c>
      <c r="AK6" s="18" t="b">
        <v>1</v>
      </c>
      <c r="AL6" s="18" t="b">
        <v>1</v>
      </c>
      <c r="AM6" s="18" t="b">
        <v>1</v>
      </c>
      <c r="AN6" s="18" t="b">
        <v>1</v>
      </c>
      <c r="AO6" s="18" t="b">
        <v>1</v>
      </c>
      <c r="AP6" s="18" t="b">
        <v>1</v>
      </c>
      <c r="AQ6" s="18" t="b">
        <v>1</v>
      </c>
      <c r="AR6" s="18" t="b">
        <v>0</v>
      </c>
      <c r="AS6" s="18" t="b">
        <v>1</v>
      </c>
      <c r="AT6" s="18" t="b">
        <v>1</v>
      </c>
      <c r="AU6" s="18" t="b">
        <v>1</v>
      </c>
      <c r="AV6" s="18" t="b">
        <v>1</v>
      </c>
      <c r="AW6" s="18" t="b">
        <v>1</v>
      </c>
      <c r="AX6" s="18" t="b">
        <v>0</v>
      </c>
      <c r="AY6" s="18" t="b">
        <v>0</v>
      </c>
      <c r="AZ6" s="18" t="b">
        <v>1</v>
      </c>
      <c r="BA6" s="18" t="b">
        <v>1</v>
      </c>
      <c r="BB6" s="18" t="b">
        <v>1</v>
      </c>
      <c r="BC6" s="18" t="b">
        <v>1</v>
      </c>
      <c r="BD6" s="18" t="b">
        <v>0</v>
      </c>
      <c r="BE6" s="18" t="b">
        <v>0</v>
      </c>
      <c r="BF6" s="18" t="b">
        <v>1</v>
      </c>
      <c r="BG6" s="18" t="b">
        <v>1</v>
      </c>
      <c r="BH6" s="18" t="b">
        <v>1</v>
      </c>
      <c r="BI6" s="18" t="b">
        <v>0</v>
      </c>
      <c r="BJ6" s="18" t="b">
        <v>0</v>
      </c>
    </row>
    <row r="7" spans="1:62" ht="12.75">
      <c r="A7" s="18" t="s">
        <v>38</v>
      </c>
      <c r="B7" s="18" t="s">
        <v>62</v>
      </c>
      <c r="C7" s="18">
        <f>COUNTIF(Begin!$G$12:$I$31,A7)</f>
        <v>0</v>
      </c>
      <c r="D7" s="19" t="s">
        <v>75</v>
      </c>
      <c r="E7" s="18">
        <f>TRUNC(C7*3/4)</f>
        <v>0</v>
      </c>
      <c r="F7" s="18">
        <f>IF(C7=0,0,TRUNC(C7/2)+2)</f>
        <v>0</v>
      </c>
      <c r="G7" s="18">
        <f>TRUNC(C7/3)</f>
        <v>0</v>
      </c>
      <c r="H7" s="18">
        <f>IF(C7=0,0,TRUNC(C7/2)+2)</f>
        <v>0</v>
      </c>
      <c r="I7" s="19">
        <v>2</v>
      </c>
      <c r="J7" s="19" t="b">
        <v>1</v>
      </c>
      <c r="K7" s="18" t="b">
        <v>0</v>
      </c>
      <c r="L7" s="18" t="b">
        <v>0</v>
      </c>
      <c r="M7" s="18" t="b">
        <f>OR(Begin!H35="Trickery",Begin!H36="Trickery")</f>
        <v>0</v>
      </c>
      <c r="N7" s="18" t="b">
        <v>0</v>
      </c>
      <c r="O7" s="18" t="b">
        <v>1</v>
      </c>
      <c r="P7" s="18" t="b">
        <v>1</v>
      </c>
      <c r="Q7" s="18" t="b">
        <v>1</v>
      </c>
      <c r="R7" s="18" t="b">
        <v>1</v>
      </c>
      <c r="S7" s="18" t="b">
        <v>0</v>
      </c>
      <c r="T7" s="18" t="b">
        <v>1</v>
      </c>
      <c r="U7" s="18" t="b">
        <v>0</v>
      </c>
      <c r="V7" s="18" t="b">
        <f>OR(Begin!H35="Trickery",Begin!H36="Trickery")</f>
        <v>0</v>
      </c>
      <c r="W7" s="18" t="b">
        <v>0</v>
      </c>
      <c r="X7" s="18" t="b">
        <v>0</v>
      </c>
      <c r="Y7" s="18" t="b">
        <v>0</v>
      </c>
      <c r="Z7" s="18" t="b">
        <v>0</v>
      </c>
      <c r="AA7" s="18" t="b">
        <v>1</v>
      </c>
      <c r="AB7" s="18" t="b">
        <f>OR(Begin!H35="Trickery",Begin!H36="Trickery")</f>
        <v>0</v>
      </c>
      <c r="AC7" s="18" t="b">
        <v>0</v>
      </c>
      <c r="AD7" s="18" t="b">
        <v>0</v>
      </c>
      <c r="AE7" s="18" t="b">
        <v>1</v>
      </c>
      <c r="AF7" s="18" t="b">
        <f>OR(Begin!H35="Knowledge",Begin!H36="Knowledge")</f>
        <v>0</v>
      </c>
      <c r="AG7" s="18" t="b">
        <f>OR(Begin!H35="Knowledge",Begin!H36="Knowledge")</f>
        <v>0</v>
      </c>
      <c r="AH7" s="18" t="b">
        <f>OR(Begin!H35="Knowledge",Begin!H36="Knowledge")</f>
        <v>0</v>
      </c>
      <c r="AI7" s="18" t="b">
        <v>1</v>
      </c>
      <c r="AJ7" s="18" t="b">
        <f>OR(Begin!H35="Knowledge",Begin!H36="Knowledge")</f>
        <v>0</v>
      </c>
      <c r="AK7" s="18" t="b">
        <f>OR(Begin!H35="Knowledge",Begin!H36="Knowledge",Begin!H35="Animal",Begin!H36="Animal",Begin!H35="Plant",Begin!H36="Plant")</f>
        <v>0</v>
      </c>
      <c r="AL7" s="18" t="b">
        <f>OR(Begin!H35="Knowledge",Begin!H36="Knowledge")</f>
        <v>0</v>
      </c>
      <c r="AM7" s="18" t="b">
        <v>1</v>
      </c>
      <c r="AN7" s="18" t="b">
        <v>1</v>
      </c>
      <c r="AO7" s="18" t="b">
        <f>OR(Begin!H35="Knowledge",Begin!H36="Knowledge")</f>
        <v>0</v>
      </c>
      <c r="AP7" s="18" t="b">
        <v>0</v>
      </c>
      <c r="AQ7" s="18" t="b">
        <v>0</v>
      </c>
      <c r="AR7" s="18" t="b">
        <v>0</v>
      </c>
      <c r="AS7" s="18" t="b">
        <v>0</v>
      </c>
      <c r="AT7" s="18" t="b">
        <v>0</v>
      </c>
      <c r="AU7" s="18" t="b">
        <v>0</v>
      </c>
      <c r="AV7" s="18" t="b">
        <v>1</v>
      </c>
      <c r="AW7" s="18" t="b">
        <v>1</v>
      </c>
      <c r="AX7" s="18" t="b">
        <v>0</v>
      </c>
      <c r="AY7" s="18" t="b">
        <v>0</v>
      </c>
      <c r="AZ7" s="18" t="b">
        <v>0</v>
      </c>
      <c r="BA7" s="18" t="b">
        <v>0</v>
      </c>
      <c r="BB7" s="18" t="b">
        <v>0</v>
      </c>
      <c r="BC7" s="18" t="b">
        <v>1</v>
      </c>
      <c r="BD7" s="18" t="b">
        <v>0</v>
      </c>
      <c r="BE7" s="18" t="b">
        <f>OR(Begin!H35="Travel",Begin!H36="Travel")</f>
        <v>0</v>
      </c>
      <c r="BF7" s="18" t="b">
        <v>0</v>
      </c>
      <c r="BG7" s="18" t="b">
        <v>0</v>
      </c>
      <c r="BH7" s="18" t="b">
        <v>0</v>
      </c>
      <c r="BI7" s="18" t="b">
        <v>0</v>
      </c>
      <c r="BJ7" s="18" t="b">
        <v>0</v>
      </c>
    </row>
    <row r="8" spans="1:62" ht="12.75">
      <c r="A8" s="18" t="s">
        <v>39</v>
      </c>
      <c r="B8" s="18" t="s">
        <v>63</v>
      </c>
      <c r="C8" s="18">
        <f>COUNTIF(Begin!$G$12:$I$31,A8)</f>
        <v>0</v>
      </c>
      <c r="D8" s="19" t="s">
        <v>77</v>
      </c>
      <c r="E8" s="18">
        <f>TRUNC(C8/2)</f>
        <v>0</v>
      </c>
      <c r="F8" s="18">
        <f>TRUNC(C8/3)</f>
        <v>0</v>
      </c>
      <c r="G8" s="18">
        <f>TRUNC(C8/3)</f>
        <v>0</v>
      </c>
      <c r="H8" s="18">
        <f>TRUNC(C8/3)</f>
        <v>0</v>
      </c>
      <c r="I8" s="19">
        <v>2</v>
      </c>
      <c r="J8" s="19" t="b">
        <v>1</v>
      </c>
      <c r="K8" s="18" t="b">
        <v>0</v>
      </c>
      <c r="L8" s="18" t="b">
        <v>0</v>
      </c>
      <c r="M8" s="18" t="b">
        <v>0</v>
      </c>
      <c r="N8" s="18" t="b">
        <v>1</v>
      </c>
      <c r="O8" s="18" t="b">
        <v>0</v>
      </c>
      <c r="P8" s="18" t="b">
        <v>1</v>
      </c>
      <c r="Q8" s="18" t="b">
        <v>1</v>
      </c>
      <c r="R8" s="18" t="b">
        <v>1</v>
      </c>
      <c r="S8" s="18" t="b">
        <v>0</v>
      </c>
      <c r="T8" s="18" t="b">
        <v>0</v>
      </c>
      <c r="U8" s="18" t="b">
        <v>0</v>
      </c>
      <c r="V8" s="18" t="b">
        <v>0</v>
      </c>
      <c r="W8" s="18" t="b">
        <v>0</v>
      </c>
      <c r="X8" s="18" t="b">
        <v>0</v>
      </c>
      <c r="Y8" s="18" t="b">
        <v>0</v>
      </c>
      <c r="Z8" s="18" t="b">
        <v>1</v>
      </c>
      <c r="AA8" s="18" t="b">
        <v>0</v>
      </c>
      <c r="AB8" s="18" t="b">
        <v>0</v>
      </c>
      <c r="AC8" s="18" t="b">
        <v>0</v>
      </c>
      <c r="AD8" s="18" t="b">
        <v>1</v>
      </c>
      <c r="AE8" s="18" t="b">
        <v>0</v>
      </c>
      <c r="AF8" s="18" t="b">
        <v>0</v>
      </c>
      <c r="AG8" s="18" t="b">
        <v>0</v>
      </c>
      <c r="AH8" s="18" t="b">
        <v>0</v>
      </c>
      <c r="AI8" s="18" t="b">
        <v>0</v>
      </c>
      <c r="AJ8" s="18" t="b">
        <v>0</v>
      </c>
      <c r="AK8" s="18" t="b">
        <v>0</v>
      </c>
      <c r="AL8" s="18" t="b">
        <v>0</v>
      </c>
      <c r="AM8" s="18" t="b">
        <v>0</v>
      </c>
      <c r="AN8" s="18" t="b">
        <v>0</v>
      </c>
      <c r="AO8" s="18" t="b">
        <v>0</v>
      </c>
      <c r="AP8" s="18" t="b">
        <v>1</v>
      </c>
      <c r="AQ8" s="18" t="b">
        <v>0</v>
      </c>
      <c r="AR8" s="18" t="b">
        <v>0</v>
      </c>
      <c r="AS8" s="18" t="b">
        <v>0</v>
      </c>
      <c r="AT8" s="18" t="b">
        <v>0</v>
      </c>
      <c r="AU8" s="18" t="b">
        <v>0</v>
      </c>
      <c r="AV8" s="18" t="b">
        <v>1</v>
      </c>
      <c r="AW8" s="18" t="b">
        <v>1</v>
      </c>
      <c r="AX8" s="18" t="b">
        <v>1</v>
      </c>
      <c r="AY8" s="18" t="b">
        <v>0</v>
      </c>
      <c r="AZ8" s="18" t="b">
        <v>0</v>
      </c>
      <c r="BA8" s="18" t="b">
        <v>0</v>
      </c>
      <c r="BB8" s="18" t="b">
        <v>0</v>
      </c>
      <c r="BC8" s="18" t="b">
        <v>0</v>
      </c>
      <c r="BD8" s="18" t="b">
        <v>1</v>
      </c>
      <c r="BE8" s="18" t="b">
        <v>0</v>
      </c>
      <c r="BF8" s="18" t="b">
        <v>1</v>
      </c>
      <c r="BG8" s="18" t="b">
        <v>0</v>
      </c>
      <c r="BH8" s="18" t="b">
        <v>0</v>
      </c>
      <c r="BI8" s="18" t="b">
        <v>1</v>
      </c>
      <c r="BJ8" s="18" t="b">
        <v>0</v>
      </c>
    </row>
    <row r="9" spans="1:62" ht="12.75">
      <c r="A9" s="18" t="s">
        <v>40</v>
      </c>
      <c r="B9" s="18" t="s">
        <v>64</v>
      </c>
      <c r="C9" s="18">
        <f>COUNTIF(Begin!$G$12:$I$31,A9)</f>
        <v>0</v>
      </c>
      <c r="D9" s="19" t="s">
        <v>75</v>
      </c>
      <c r="E9" s="18">
        <f>TRUNC(C9*3/4)</f>
        <v>0</v>
      </c>
      <c r="F9" s="18">
        <f>IF(C9=0,0,TRUNC(C9/2)+2)</f>
        <v>0</v>
      </c>
      <c r="G9" s="18">
        <f>TRUNC(C9/3)</f>
        <v>0</v>
      </c>
      <c r="H9" s="18">
        <f>IF(C9=0,0,TRUNC(C9/2)+2)</f>
        <v>0</v>
      </c>
      <c r="I9" s="19">
        <v>4</v>
      </c>
      <c r="J9" s="19" t="b">
        <f>AND(Alignment&lt;&gt;"Lawful Good",Alignment&lt;&gt;"Chaotic Good",Alignment&lt;&gt;"Lawful Evil",Alignment&lt;&gt;"Chaotic Evil")</f>
        <v>1</v>
      </c>
      <c r="K9" s="18" t="b">
        <v>0</v>
      </c>
      <c r="L9" s="18" t="b">
        <v>0</v>
      </c>
      <c r="M9" s="18" t="b">
        <v>0</v>
      </c>
      <c r="N9" s="18" t="b">
        <v>0</v>
      </c>
      <c r="O9" s="18" t="b">
        <v>1</v>
      </c>
      <c r="P9" s="18" t="b">
        <v>1</v>
      </c>
      <c r="Q9" s="18" t="b">
        <v>1</v>
      </c>
      <c r="R9" s="18" t="b">
        <v>1</v>
      </c>
      <c r="S9" s="18" t="b">
        <v>0</v>
      </c>
      <c r="T9" s="18" t="b">
        <v>1</v>
      </c>
      <c r="U9" s="18" t="b">
        <v>0</v>
      </c>
      <c r="V9" s="18" t="b">
        <v>0</v>
      </c>
      <c r="W9" s="18" t="b">
        <v>0</v>
      </c>
      <c r="X9" s="18" t="b">
        <v>0</v>
      </c>
      <c r="Y9" s="18" t="b">
        <v>0</v>
      </c>
      <c r="Z9" s="18" t="b">
        <v>1</v>
      </c>
      <c r="AA9" s="18" t="b">
        <v>1</v>
      </c>
      <c r="AB9" s="18" t="b">
        <v>0</v>
      </c>
      <c r="AC9" s="18" t="b">
        <v>0</v>
      </c>
      <c r="AD9" s="18" t="b">
        <v>0</v>
      </c>
      <c r="AE9" s="18" t="b">
        <v>0</v>
      </c>
      <c r="AF9" s="18" t="b">
        <v>0</v>
      </c>
      <c r="AG9" s="18" t="b">
        <v>0</v>
      </c>
      <c r="AH9" s="18" t="b">
        <v>0</v>
      </c>
      <c r="AI9" s="18" t="b">
        <v>0</v>
      </c>
      <c r="AJ9" s="18" t="b">
        <v>0</v>
      </c>
      <c r="AK9" s="18" t="b">
        <v>1</v>
      </c>
      <c r="AL9" s="18" t="b">
        <v>0</v>
      </c>
      <c r="AM9" s="18" t="b">
        <v>0</v>
      </c>
      <c r="AN9" s="18" t="b">
        <v>0</v>
      </c>
      <c r="AO9" s="18" t="b">
        <v>0</v>
      </c>
      <c r="AP9" s="18" t="b">
        <v>1</v>
      </c>
      <c r="AQ9" s="18" t="b">
        <v>0</v>
      </c>
      <c r="AR9" s="18" t="b">
        <v>0</v>
      </c>
      <c r="AS9" s="18" t="b">
        <v>0</v>
      </c>
      <c r="AT9" s="18" t="b">
        <v>0</v>
      </c>
      <c r="AU9" s="18" t="b">
        <v>0</v>
      </c>
      <c r="AV9" s="18" t="b">
        <v>1</v>
      </c>
      <c r="AW9" s="18" t="b">
        <v>1</v>
      </c>
      <c r="AX9" s="18" t="b">
        <v>1</v>
      </c>
      <c r="AY9" s="18" t="b">
        <v>0</v>
      </c>
      <c r="AZ9" s="18" t="b">
        <v>0</v>
      </c>
      <c r="BA9" s="18" t="b">
        <v>0</v>
      </c>
      <c r="BB9" s="18" t="b">
        <v>0</v>
      </c>
      <c r="BC9" s="18" t="b">
        <v>1</v>
      </c>
      <c r="BD9" s="18" t="b">
        <v>1</v>
      </c>
      <c r="BE9" s="18" t="b">
        <v>1</v>
      </c>
      <c r="BF9" s="18" t="b">
        <v>1</v>
      </c>
      <c r="BG9" s="18" t="b">
        <v>0</v>
      </c>
      <c r="BH9" s="18" t="b">
        <v>0</v>
      </c>
      <c r="BI9" s="18" t="b">
        <v>0</v>
      </c>
      <c r="BJ9" s="18" t="b">
        <v>0</v>
      </c>
    </row>
    <row r="10" spans="1:62" ht="12.75">
      <c r="A10" s="18" t="s">
        <v>41</v>
      </c>
      <c r="B10" s="18" t="s">
        <v>65</v>
      </c>
      <c r="C10" s="18">
        <f>COUNTIF(Begin!$G$12:$I$31,A10)</f>
        <v>0</v>
      </c>
      <c r="D10" s="19" t="s">
        <v>74</v>
      </c>
      <c r="E10" s="18">
        <f>TRUNC(C10*3/4)</f>
        <v>0</v>
      </c>
      <c r="F10" s="18">
        <f>TRUNC(C10/3)</f>
        <v>0</v>
      </c>
      <c r="G10" s="18">
        <f>IF(C10=0,0,TRUNC(C10/2)+2)</f>
        <v>0</v>
      </c>
      <c r="H10" s="18">
        <f>TRUNC(C10/3)</f>
        <v>0</v>
      </c>
      <c r="I10" s="19">
        <v>6</v>
      </c>
      <c r="J10" s="19" t="b">
        <v>1</v>
      </c>
      <c r="K10" s="18" t="b">
        <f>NOT(ISNA(MATCH(K2,Begin!$B86:$B95,0)))</f>
        <v>0</v>
      </c>
      <c r="L10" s="18" t="b">
        <f>NOT(ISNA(MATCH(L2,Begin!$B86:$B95,0)))</f>
        <v>0</v>
      </c>
      <c r="M10" s="18" t="b">
        <f>NOT(ISNA(MATCH(M2,Begin!$B86:$B95,0)))</f>
        <v>0</v>
      </c>
      <c r="N10" s="18" t="b">
        <f>NOT(ISNA(MATCH(N2,Begin!$B86:$B95,0)))</f>
        <v>0</v>
      </c>
      <c r="O10" s="18" t="b">
        <f>NOT(ISNA(MATCH(O2,Begin!$B86:$B95,0)))</f>
        <v>0</v>
      </c>
      <c r="P10" s="18" t="b">
        <f>NOT(ISNA(MATCH(P2,Begin!$B86:$B95,0)))</f>
        <v>0</v>
      </c>
      <c r="Q10" s="18" t="b">
        <f>NOT(ISNA(MATCH(Q2,Begin!$B86:$B95,0)))</f>
        <v>0</v>
      </c>
      <c r="R10" s="18" t="b">
        <f>NOT(ISNA(MATCH(R2,Begin!$B86:$B95,0)))</f>
        <v>0</v>
      </c>
      <c r="S10" s="18" t="b">
        <f>NOT(ISNA(MATCH(S2,Begin!$B86:$B95,0)))</f>
        <v>0</v>
      </c>
      <c r="T10" s="18" t="b">
        <f>NOT(ISNA(MATCH(T2,Begin!$B86:$B95,0)))</f>
        <v>0</v>
      </c>
      <c r="U10" s="18" t="b">
        <f>NOT(ISNA(MATCH(U2,Begin!$B86:$B95,0)))</f>
        <v>0</v>
      </c>
      <c r="V10" s="18" t="b">
        <f>NOT(ISNA(MATCH(V2,Begin!$B86:$B95,0)))</f>
        <v>0</v>
      </c>
      <c r="W10" s="18" t="b">
        <f>NOT(ISNA(MATCH(W2,Begin!$B86:$B95,0)))</f>
        <v>0</v>
      </c>
      <c r="X10" s="18" t="b">
        <f>NOT(ISNA(MATCH(X2,Begin!$B86:$B95,0)))</f>
        <v>0</v>
      </c>
      <c r="Y10" s="18" t="b">
        <f>NOT(ISNA(MATCH(Y2,Begin!$B86:$B95,0)))</f>
        <v>0</v>
      </c>
      <c r="Z10" s="18" t="b">
        <f>NOT(ISNA(MATCH(Z2,Begin!$B86:$B95,0)))</f>
        <v>0</v>
      </c>
      <c r="AA10" s="18" t="b">
        <f>NOT(ISNA(MATCH(AA2,Begin!$B86:$B95,0)))</f>
        <v>0</v>
      </c>
      <c r="AB10" s="18" t="b">
        <f>NOT(ISNA(MATCH(AB2,Begin!$B86:$B95,0)))</f>
        <v>0</v>
      </c>
      <c r="AC10" s="18" t="b">
        <f>NOT(ISNA(MATCH(AC2,Begin!$B86:$B95,0)))</f>
        <v>0</v>
      </c>
      <c r="AD10" s="18" t="b">
        <f>NOT(ISNA(MATCH(AD2,Begin!$B86:$B95,0)))</f>
        <v>0</v>
      </c>
      <c r="AE10" s="18" t="b">
        <f>NOT(ISNA(MATCH(AE2,Begin!$B86:$B95,0)))</f>
        <v>0</v>
      </c>
      <c r="AF10" s="18" t="b">
        <f>NOT(ISNA(MATCH(AF2,Begin!$B86:$B95,0)))</f>
        <v>0</v>
      </c>
      <c r="AG10" s="18" t="b">
        <f>NOT(ISNA(MATCH(AG2,Begin!$B86:$B95,0)))</f>
        <v>0</v>
      </c>
      <c r="AH10" s="18" t="b">
        <f>NOT(ISNA(MATCH(AH2,Begin!$B86:$B95,0)))</f>
        <v>0</v>
      </c>
      <c r="AI10" s="18" t="b">
        <f>NOT(ISNA(MATCH(AI2,Begin!$B86:$B95,0)))</f>
        <v>0</v>
      </c>
      <c r="AJ10" s="18" t="b">
        <f>NOT(ISNA(MATCH(AJ2,Begin!$B86:$B95,0)))</f>
        <v>0</v>
      </c>
      <c r="AK10" s="18" t="b">
        <f>NOT(ISNA(MATCH(AK2,Begin!$B86:$B95,0)))</f>
        <v>0</v>
      </c>
      <c r="AL10" s="18" t="b">
        <f>NOT(ISNA(MATCH(AL2,Begin!$B86:$B95,0)))</f>
        <v>0</v>
      </c>
      <c r="AM10" s="18" t="b">
        <f>NOT(ISNA(MATCH(AM2,Begin!$B86:$B95,0)))</f>
        <v>0</v>
      </c>
      <c r="AN10" s="18" t="b">
        <f>NOT(ISNA(MATCH(AN2,Begin!$B86:$B95,0)))</f>
        <v>0</v>
      </c>
      <c r="AO10" s="18" t="b">
        <f>NOT(ISNA(MATCH(AO2,Begin!$B86:$B95,0)))</f>
        <v>0</v>
      </c>
      <c r="AP10" s="18" t="b">
        <f>NOT(ISNA(MATCH(AP2,Begin!$B86:$B95,0)))</f>
        <v>0</v>
      </c>
      <c r="AQ10" s="18" t="b">
        <f>NOT(ISNA(MATCH(AQ2,Begin!$B86:$B95,0)))</f>
        <v>0</v>
      </c>
      <c r="AR10" s="18" t="b">
        <f>NOT(ISNA(MATCH(AR2,Begin!$B86:$B95,0)))</f>
        <v>0</v>
      </c>
      <c r="AS10" s="18" t="b">
        <f>NOT(ISNA(MATCH(AS2,Begin!$B86:$B95,0)))</f>
        <v>0</v>
      </c>
      <c r="AT10" s="18" t="b">
        <f>NOT(ISNA(MATCH(AT2,Begin!$B86:$B95,0)))</f>
        <v>0</v>
      </c>
      <c r="AU10" s="18" t="b">
        <f>NOT(ISNA(MATCH(AU2,Begin!$B86:$B95,0)))</f>
        <v>0</v>
      </c>
      <c r="AV10" s="18" t="b">
        <f>NOT(ISNA(MATCH(AV2,Begin!$B86:$B95,0)))</f>
        <v>0</v>
      </c>
      <c r="AW10" s="18" t="b">
        <f>NOT(ISNA(MATCH(AW2,Begin!$B86:$B95,0)))</f>
        <v>0</v>
      </c>
      <c r="AX10" s="18" t="b">
        <f>NOT(ISNA(MATCH(AX2,Begin!$B86:$B95,0)))</f>
        <v>0</v>
      </c>
      <c r="AY10" s="18" t="b">
        <f>NOT(ISNA(MATCH(AY2,Begin!$B86:$B95,0)))</f>
        <v>0</v>
      </c>
      <c r="AZ10" s="18" t="b">
        <f>NOT(ISNA(MATCH(AZ2,Begin!$B86:$B95,0)))</f>
        <v>0</v>
      </c>
      <c r="BA10" s="18" t="b">
        <f>NOT(ISNA(MATCH(BA2,Begin!$B86:$B95,0)))</f>
        <v>0</v>
      </c>
      <c r="BB10" s="18" t="b">
        <f>NOT(ISNA(MATCH(BB2,Begin!$B86:$B95,0)))</f>
        <v>0</v>
      </c>
      <c r="BC10" s="18" t="b">
        <f>NOT(ISNA(MATCH(BC2,Begin!$B86:$B95,0)))</f>
        <v>0</v>
      </c>
      <c r="BD10" s="18" t="b">
        <f>NOT(ISNA(MATCH(BD2,Begin!$B86:$B95,0)))</f>
        <v>0</v>
      </c>
      <c r="BE10" s="18" t="b">
        <f>NOT(ISNA(MATCH(BE2,Begin!$B86:$B95,0)))</f>
        <v>0</v>
      </c>
      <c r="BF10" s="18" t="b">
        <f>NOT(ISNA(MATCH(BF2,Begin!$B86:$B95,0)))</f>
        <v>0</v>
      </c>
      <c r="BG10" s="18" t="b">
        <f>NOT(ISNA(MATCH(BG2,Begin!$B86:$B95,0)))</f>
        <v>0</v>
      </c>
      <c r="BH10" s="18" t="b">
        <f>NOT(ISNA(MATCH(BH2,Begin!$B86:$B95,0)))</f>
        <v>0</v>
      </c>
      <c r="BI10" s="18" t="b">
        <f>NOT(ISNA(MATCH(BI2,Begin!$B86:$B95,0)))</f>
        <v>0</v>
      </c>
      <c r="BJ10" s="18" t="b">
        <f>NOT(ISNA(MATCH(BJ2,Begin!$B86:$B95,0)))</f>
        <v>0</v>
      </c>
    </row>
    <row r="11" spans="1:62" ht="12.75">
      <c r="A11" s="18" t="s">
        <v>42</v>
      </c>
      <c r="B11" s="18" t="s">
        <v>66</v>
      </c>
      <c r="C11" s="18">
        <f>COUNTIF(Begin!$G$12:$I$31,A11)</f>
        <v>0</v>
      </c>
      <c r="D11" s="19" t="s">
        <v>78</v>
      </c>
      <c r="E11" s="18">
        <f>C11</f>
        <v>0</v>
      </c>
      <c r="F11" s="18">
        <f>IF(C11=0,0,TRUNC(C11/2)+2)</f>
        <v>0</v>
      </c>
      <c r="G11" s="18">
        <f>TRUNC(C11/3)</f>
        <v>0</v>
      </c>
      <c r="H11" s="18">
        <f>TRUNC(C11/3)</f>
        <v>0</v>
      </c>
      <c r="I11" s="19">
        <v>2</v>
      </c>
      <c r="J11" s="19" t="b">
        <v>1</v>
      </c>
      <c r="K11" s="18" t="b">
        <v>0</v>
      </c>
      <c r="L11" s="18" t="b">
        <v>0</v>
      </c>
      <c r="M11" s="18" t="b">
        <v>0</v>
      </c>
      <c r="N11" s="18" t="b">
        <v>1</v>
      </c>
      <c r="O11" s="18" t="b">
        <v>0</v>
      </c>
      <c r="P11" s="18" t="b">
        <v>1</v>
      </c>
      <c r="Q11" s="18" t="b">
        <v>1</v>
      </c>
      <c r="R11" s="18" t="b">
        <v>1</v>
      </c>
      <c r="S11" s="18" t="b">
        <v>0</v>
      </c>
      <c r="T11" s="18" t="b">
        <v>0</v>
      </c>
      <c r="U11" s="18" t="b">
        <v>0</v>
      </c>
      <c r="V11" s="18" t="b">
        <v>0</v>
      </c>
      <c r="W11" s="18" t="b">
        <v>0</v>
      </c>
      <c r="X11" s="18" t="b">
        <v>0</v>
      </c>
      <c r="Y11" s="18" t="b">
        <v>0</v>
      </c>
      <c r="Z11" s="18" t="b">
        <v>1</v>
      </c>
      <c r="AA11" s="18" t="b">
        <v>0</v>
      </c>
      <c r="AB11" s="18" t="b">
        <v>0</v>
      </c>
      <c r="AC11" s="18" t="b">
        <v>1</v>
      </c>
      <c r="AD11" s="18" t="b">
        <v>1</v>
      </c>
      <c r="AE11" s="18" t="b">
        <v>0</v>
      </c>
      <c r="AF11" s="18" t="b">
        <v>0</v>
      </c>
      <c r="AG11" s="18" t="b">
        <v>0</v>
      </c>
      <c r="AH11" s="18" t="b">
        <v>0</v>
      </c>
      <c r="AI11" s="18" t="b">
        <v>0</v>
      </c>
      <c r="AJ11" s="18" t="b">
        <v>0</v>
      </c>
      <c r="AK11" s="18" t="b">
        <v>0</v>
      </c>
      <c r="AL11" s="18" t="b">
        <v>0</v>
      </c>
      <c r="AM11" s="18" t="b">
        <v>0</v>
      </c>
      <c r="AN11" s="18" t="b">
        <v>0</v>
      </c>
      <c r="AO11" s="18" t="b">
        <v>0</v>
      </c>
      <c r="AP11" s="18" t="b">
        <v>0</v>
      </c>
      <c r="AQ11" s="18" t="b">
        <v>0</v>
      </c>
      <c r="AR11" s="18" t="b">
        <v>0</v>
      </c>
      <c r="AS11" s="18" t="b">
        <v>0</v>
      </c>
      <c r="AT11" s="18" t="b">
        <v>0</v>
      </c>
      <c r="AU11" s="18" t="b">
        <v>0</v>
      </c>
      <c r="AV11" s="18" t="b">
        <v>0</v>
      </c>
      <c r="AW11" s="18" t="b">
        <v>0</v>
      </c>
      <c r="AX11" s="18" t="b">
        <v>1</v>
      </c>
      <c r="AY11" s="18" t="b">
        <v>0</v>
      </c>
      <c r="AZ11" s="18" t="b">
        <v>0</v>
      </c>
      <c r="BA11" s="18" t="b">
        <v>0</v>
      </c>
      <c r="BB11" s="18" t="b">
        <v>0</v>
      </c>
      <c r="BC11" s="18" t="b">
        <v>0</v>
      </c>
      <c r="BD11" s="18" t="b">
        <v>0</v>
      </c>
      <c r="BE11" s="18" t="b">
        <v>0</v>
      </c>
      <c r="BF11" s="18" t="b">
        <v>1</v>
      </c>
      <c r="BG11" s="18" t="b">
        <v>0</v>
      </c>
      <c r="BH11" s="18" t="b">
        <v>0</v>
      </c>
      <c r="BI11" s="18" t="b">
        <v>0</v>
      </c>
      <c r="BJ11" s="18" t="b">
        <v>0</v>
      </c>
    </row>
    <row r="12" spans="1:62" ht="12.75">
      <c r="A12" s="18" t="s">
        <v>43</v>
      </c>
      <c r="B12" s="18" t="s">
        <v>67</v>
      </c>
      <c r="C12" s="18">
        <f>COUNTIF(Begin!$G$12:$I$31,A12)</f>
        <v>0</v>
      </c>
      <c r="D12" s="19" t="s">
        <v>75</v>
      </c>
      <c r="E12" s="18">
        <f>TRUNC(C12*3/4)</f>
        <v>0</v>
      </c>
      <c r="F12" s="18">
        <f>IF(C12=0,0,TRUNC(C12/2)+2)</f>
        <v>0</v>
      </c>
      <c r="G12" s="18">
        <f>IF(C12=0,0,TRUNC(C12/2)+2)</f>
        <v>0</v>
      </c>
      <c r="H12" s="18">
        <f>IF(C12=0,0,TRUNC(C12/2)+2)</f>
        <v>0</v>
      </c>
      <c r="I12" s="19">
        <v>4</v>
      </c>
      <c r="J12" s="19" t="b">
        <f ca="1">AND(OR(Alignment="Lawful Good",Alignment="Lawful Neutral",Alignment="Lawful Evil"),OR(C12=0,OFFSET(Begin!G11,ChrLevel,0)="Monk"))</f>
        <v>0</v>
      </c>
      <c r="K12" s="18" t="b">
        <v>0</v>
      </c>
      <c r="L12" s="18" t="b">
        <v>1</v>
      </c>
      <c r="M12" s="18" t="b">
        <v>0</v>
      </c>
      <c r="N12" s="18" t="b">
        <v>1</v>
      </c>
      <c r="O12" s="18" t="b">
        <v>1</v>
      </c>
      <c r="P12" s="18" t="b">
        <v>1</v>
      </c>
      <c r="Q12" s="18" t="b">
        <v>1</v>
      </c>
      <c r="R12" s="18" t="b">
        <v>1</v>
      </c>
      <c r="S12" s="18" t="b">
        <v>0</v>
      </c>
      <c r="T12" s="18" t="b">
        <v>1</v>
      </c>
      <c r="U12" s="18" t="b">
        <v>0</v>
      </c>
      <c r="V12" s="18" t="b">
        <v>0</v>
      </c>
      <c r="W12" s="18" t="b">
        <v>1</v>
      </c>
      <c r="X12" s="18" t="b">
        <v>0</v>
      </c>
      <c r="Y12" s="18" t="b">
        <v>0</v>
      </c>
      <c r="Z12" s="18" t="b">
        <v>0</v>
      </c>
      <c r="AA12" s="18" t="b">
        <v>0</v>
      </c>
      <c r="AB12" s="18" t="b">
        <v>1</v>
      </c>
      <c r="AC12" s="18" t="b">
        <v>0</v>
      </c>
      <c r="AD12" s="18" t="b">
        <v>1</v>
      </c>
      <c r="AE12" s="18" t="b">
        <v>1</v>
      </c>
      <c r="AF12" s="18" t="b">
        <v>0</v>
      </c>
      <c r="AG12" s="18" t="b">
        <v>0</v>
      </c>
      <c r="AH12" s="18" t="b">
        <v>0</v>
      </c>
      <c r="AI12" s="18" t="b">
        <v>0</v>
      </c>
      <c r="AJ12" s="18" t="b">
        <v>0</v>
      </c>
      <c r="AK12" s="18" t="b">
        <v>0</v>
      </c>
      <c r="AL12" s="18" t="b">
        <v>0</v>
      </c>
      <c r="AM12" s="18" t="b">
        <v>1</v>
      </c>
      <c r="AN12" s="18" t="b">
        <v>0</v>
      </c>
      <c r="AO12" s="18" t="b">
        <v>0</v>
      </c>
      <c r="AP12" s="18" t="b">
        <v>1</v>
      </c>
      <c r="AQ12" s="18" t="b">
        <v>1</v>
      </c>
      <c r="AR12" s="18" t="b">
        <v>0</v>
      </c>
      <c r="AS12" s="18" t="b">
        <v>1</v>
      </c>
      <c r="AT12" s="18" t="b">
        <v>1</v>
      </c>
      <c r="AU12" s="18" t="b">
        <v>1</v>
      </c>
      <c r="AV12" s="18" t="b">
        <v>1</v>
      </c>
      <c r="AW12" s="18" t="b">
        <v>1</v>
      </c>
      <c r="AX12" s="18" t="b">
        <v>0</v>
      </c>
      <c r="AY12" s="18" t="b">
        <v>0</v>
      </c>
      <c r="AZ12" s="18" t="b">
        <v>1</v>
      </c>
      <c r="BA12" s="18" t="b">
        <v>0</v>
      </c>
      <c r="BB12" s="18" t="b">
        <v>0</v>
      </c>
      <c r="BC12" s="18" t="b">
        <v>0</v>
      </c>
      <c r="BD12" s="18" t="b">
        <v>1</v>
      </c>
      <c r="BE12" s="18" t="b">
        <v>0</v>
      </c>
      <c r="BF12" s="18" t="b">
        <v>1</v>
      </c>
      <c r="BG12" s="18" t="b">
        <v>1</v>
      </c>
      <c r="BH12" s="18" t="b">
        <v>0</v>
      </c>
      <c r="BI12" s="18" t="b">
        <v>0</v>
      </c>
      <c r="BJ12" s="18" t="b">
        <v>0</v>
      </c>
    </row>
    <row r="13" spans="1:62" ht="12.75">
      <c r="A13" s="18" t="s">
        <v>44</v>
      </c>
      <c r="B13" s="18" t="s">
        <v>68</v>
      </c>
      <c r="C13" s="18">
        <f>COUNTIF(Begin!$G$12:$I$31,A13)</f>
        <v>0</v>
      </c>
      <c r="D13" s="19" t="s">
        <v>78</v>
      </c>
      <c r="E13" s="18">
        <f>C13</f>
        <v>0</v>
      </c>
      <c r="F13" s="18">
        <f>IF(C13=0,0,TRUNC(C13/2)+2)</f>
        <v>0</v>
      </c>
      <c r="G13" s="18">
        <f>TRUNC(C13/3)</f>
        <v>0</v>
      </c>
      <c r="H13" s="18">
        <f>TRUNC(C13/3)</f>
        <v>0</v>
      </c>
      <c r="I13" s="19">
        <v>2</v>
      </c>
      <c r="J13" s="19" t="b">
        <f ca="1">AND(Alignment="Lawful Good",OR(C13=0,OFFSET(Begin!G11,ChrLevel,0)="Paladin"))</f>
        <v>0</v>
      </c>
      <c r="K13" s="18" t="b">
        <v>0</v>
      </c>
      <c r="L13" s="18" t="b">
        <v>0</v>
      </c>
      <c r="M13" s="18" t="b">
        <v>0</v>
      </c>
      <c r="N13" s="18" t="b">
        <v>0</v>
      </c>
      <c r="O13" s="18" t="b">
        <v>1</v>
      </c>
      <c r="P13" s="18" t="b">
        <v>1</v>
      </c>
      <c r="Q13" s="18" t="b">
        <v>1</v>
      </c>
      <c r="R13" s="18" t="b">
        <v>1</v>
      </c>
      <c r="S13" s="18" t="b">
        <v>0</v>
      </c>
      <c r="T13" s="18" t="b">
        <v>1</v>
      </c>
      <c r="U13" s="18" t="b">
        <v>0</v>
      </c>
      <c r="V13" s="18" t="b">
        <v>0</v>
      </c>
      <c r="W13" s="18" t="b">
        <v>0</v>
      </c>
      <c r="X13" s="18" t="b">
        <v>0</v>
      </c>
      <c r="Y13" s="18" t="b">
        <v>0</v>
      </c>
      <c r="Z13" s="18" t="b">
        <v>1</v>
      </c>
      <c r="AA13" s="18" t="b">
        <v>1</v>
      </c>
      <c r="AB13" s="18" t="b">
        <v>0</v>
      </c>
      <c r="AC13" s="18" t="b">
        <v>0</v>
      </c>
      <c r="AD13" s="18" t="b">
        <v>0</v>
      </c>
      <c r="AE13" s="18" t="b">
        <v>0</v>
      </c>
      <c r="AF13" s="18" t="b">
        <v>0</v>
      </c>
      <c r="AG13" s="18" t="b">
        <v>0</v>
      </c>
      <c r="AH13" s="18" t="b">
        <v>0</v>
      </c>
      <c r="AI13" s="18" t="b">
        <v>0</v>
      </c>
      <c r="AJ13" s="18" t="b">
        <v>0</v>
      </c>
      <c r="AK13" s="18" t="b">
        <v>0</v>
      </c>
      <c r="AL13" s="18" t="b">
        <v>1</v>
      </c>
      <c r="AM13" s="18" t="b">
        <v>1</v>
      </c>
      <c r="AN13" s="18" t="b">
        <v>0</v>
      </c>
      <c r="AO13" s="18" t="b">
        <v>0</v>
      </c>
      <c r="AP13" s="18" t="b">
        <v>0</v>
      </c>
      <c r="AQ13" s="18" t="b">
        <v>0</v>
      </c>
      <c r="AR13" s="18" t="b">
        <v>0</v>
      </c>
      <c r="AS13" s="18" t="b">
        <v>0</v>
      </c>
      <c r="AT13" s="18" t="b">
        <v>0</v>
      </c>
      <c r="AU13" s="18" t="b">
        <v>0</v>
      </c>
      <c r="AV13" s="18" t="b">
        <v>1</v>
      </c>
      <c r="AW13" s="18" t="b">
        <v>1</v>
      </c>
      <c r="AX13" s="18" t="b">
        <v>1</v>
      </c>
      <c r="AY13" s="18" t="b">
        <v>0</v>
      </c>
      <c r="AZ13" s="18" t="b">
        <v>1</v>
      </c>
      <c r="BA13" s="18" t="b">
        <v>0</v>
      </c>
      <c r="BB13" s="18" t="b">
        <v>0</v>
      </c>
      <c r="BC13" s="18" t="b">
        <v>0</v>
      </c>
      <c r="BD13" s="18" t="b">
        <v>0</v>
      </c>
      <c r="BE13" s="18" t="b">
        <v>0</v>
      </c>
      <c r="BF13" s="18" t="b">
        <v>0</v>
      </c>
      <c r="BG13" s="18" t="b">
        <v>0</v>
      </c>
      <c r="BH13" s="18" t="b">
        <v>0</v>
      </c>
      <c r="BI13" s="18" t="b">
        <v>0</v>
      </c>
      <c r="BJ13" s="18" t="b">
        <v>0</v>
      </c>
    </row>
    <row r="14" spans="1:62" ht="12.75">
      <c r="A14" s="18" t="s">
        <v>45</v>
      </c>
      <c r="B14" s="18" t="s">
        <v>69</v>
      </c>
      <c r="C14" s="18">
        <f>COUNTIF(Begin!$G$12:$I$31,A14)</f>
        <v>0</v>
      </c>
      <c r="D14" s="19" t="s">
        <v>75</v>
      </c>
      <c r="E14" s="18">
        <f>C14</f>
        <v>0</v>
      </c>
      <c r="F14" s="18">
        <f>IF(C14=0,0,TRUNC(C14/2)+2)</f>
        <v>0</v>
      </c>
      <c r="G14" s="18">
        <f>IF(C14=0,0,TRUNC(C14/2)+2)</f>
        <v>0</v>
      </c>
      <c r="H14" s="18">
        <f>TRUNC(C14/3)</f>
        <v>0</v>
      </c>
      <c r="I14" s="19">
        <v>6</v>
      </c>
      <c r="J14" s="19" t="b">
        <v>1</v>
      </c>
      <c r="K14" s="18" t="b">
        <v>0</v>
      </c>
      <c r="L14" s="18" t="b">
        <v>0</v>
      </c>
      <c r="M14" s="18" t="b">
        <v>0</v>
      </c>
      <c r="N14" s="18" t="b">
        <v>1</v>
      </c>
      <c r="O14" s="18" t="b">
        <v>1</v>
      </c>
      <c r="P14" s="18" t="b">
        <v>1</v>
      </c>
      <c r="Q14" s="18" t="b">
        <v>1</v>
      </c>
      <c r="R14" s="18" t="b">
        <v>1</v>
      </c>
      <c r="S14" s="18" t="b">
        <v>0</v>
      </c>
      <c r="T14" s="18" t="b">
        <v>0</v>
      </c>
      <c r="U14" s="18" t="b">
        <v>0</v>
      </c>
      <c r="V14" s="18" t="b">
        <v>0</v>
      </c>
      <c r="W14" s="18" t="b">
        <v>0</v>
      </c>
      <c r="X14" s="18" t="b">
        <v>0</v>
      </c>
      <c r="Y14" s="18" t="b">
        <v>0</v>
      </c>
      <c r="Z14" s="18" t="b">
        <v>1</v>
      </c>
      <c r="AA14" s="18" t="b">
        <v>1</v>
      </c>
      <c r="AB14" s="18" t="b">
        <v>1</v>
      </c>
      <c r="AC14" s="18" t="b">
        <v>0</v>
      </c>
      <c r="AD14" s="18" t="b">
        <v>1</v>
      </c>
      <c r="AE14" s="18" t="b">
        <v>0</v>
      </c>
      <c r="AF14" s="18" t="b">
        <v>0</v>
      </c>
      <c r="AG14" s="18" t="b">
        <v>1</v>
      </c>
      <c r="AH14" s="18" t="b">
        <v>1</v>
      </c>
      <c r="AI14" s="18" t="b">
        <v>0</v>
      </c>
      <c r="AJ14" s="18" t="b">
        <v>0</v>
      </c>
      <c r="AK14" s="18" t="b">
        <v>1</v>
      </c>
      <c r="AL14" s="18" t="b">
        <v>0</v>
      </c>
      <c r="AM14" s="18" t="b">
        <v>0</v>
      </c>
      <c r="AN14" s="18" t="b">
        <v>0</v>
      </c>
      <c r="AO14" s="18" t="b">
        <v>0</v>
      </c>
      <c r="AP14" s="18" t="b">
        <v>1</v>
      </c>
      <c r="AQ14" s="18" t="b">
        <v>1</v>
      </c>
      <c r="AR14" s="18" t="b">
        <v>0</v>
      </c>
      <c r="AS14" s="18" t="b">
        <v>0</v>
      </c>
      <c r="AT14" s="18" t="b">
        <v>0</v>
      </c>
      <c r="AU14" s="18" t="b">
        <v>0</v>
      </c>
      <c r="AV14" s="18" t="b">
        <v>1</v>
      </c>
      <c r="AW14" s="18" t="b">
        <v>1</v>
      </c>
      <c r="AX14" s="18" t="b">
        <v>1</v>
      </c>
      <c r="AY14" s="18" t="b">
        <v>1</v>
      </c>
      <c r="AZ14" s="18" t="b">
        <v>0</v>
      </c>
      <c r="BA14" s="18" t="b">
        <v>0</v>
      </c>
      <c r="BB14" s="18" t="b">
        <v>0</v>
      </c>
      <c r="BC14" s="18" t="b">
        <v>0</v>
      </c>
      <c r="BD14" s="18" t="b">
        <v>1</v>
      </c>
      <c r="BE14" s="18" t="b">
        <v>1</v>
      </c>
      <c r="BF14" s="18" t="b">
        <v>1</v>
      </c>
      <c r="BG14" s="18" t="b">
        <v>0</v>
      </c>
      <c r="BH14" s="18" t="b">
        <v>0</v>
      </c>
      <c r="BI14" s="18" t="b">
        <v>1</v>
      </c>
      <c r="BJ14" s="18" t="b">
        <v>0</v>
      </c>
    </row>
    <row r="15" spans="1:62" ht="12.75">
      <c r="A15" s="18" t="s">
        <v>46</v>
      </c>
      <c r="B15" s="18" t="s">
        <v>70</v>
      </c>
      <c r="C15" s="18">
        <f>COUNTIF(Begin!$G$12:$I$31,A15)</f>
        <v>0</v>
      </c>
      <c r="D15" s="19" t="s">
        <v>74</v>
      </c>
      <c r="E15" s="18">
        <f>TRUNC(C15*3/4)</f>
        <v>0</v>
      </c>
      <c r="F15" s="18">
        <f>TRUNC(C15/3)</f>
        <v>0</v>
      </c>
      <c r="G15" s="18">
        <f>IF(C15=0,0,TRUNC(C15/2)+2)</f>
        <v>0</v>
      </c>
      <c r="H15" s="18">
        <f>TRUNC(C15/3)</f>
        <v>0</v>
      </c>
      <c r="I15" s="19">
        <v>8</v>
      </c>
      <c r="J15" s="19" t="b">
        <v>1</v>
      </c>
      <c r="K15" s="18" t="b">
        <v>1</v>
      </c>
      <c r="L15" s="18" t="b">
        <v>1</v>
      </c>
      <c r="M15" s="18" t="b">
        <v>1</v>
      </c>
      <c r="N15" s="18" t="b">
        <v>1</v>
      </c>
      <c r="O15" s="18" t="b">
        <v>0</v>
      </c>
      <c r="P15" s="18" t="b">
        <v>1</v>
      </c>
      <c r="Q15" s="18" t="b">
        <v>1</v>
      </c>
      <c r="R15" s="18" t="b">
        <v>1</v>
      </c>
      <c r="S15" s="18" t="b">
        <v>1</v>
      </c>
      <c r="T15" s="18" t="b">
        <v>1</v>
      </c>
      <c r="U15" s="18" t="b">
        <v>1</v>
      </c>
      <c r="V15" s="18" t="b">
        <v>1</v>
      </c>
      <c r="W15" s="18" t="b">
        <v>1</v>
      </c>
      <c r="X15" s="18" t="b">
        <v>1</v>
      </c>
      <c r="Y15" s="18" t="b">
        <v>1</v>
      </c>
      <c r="Z15" s="18" t="b">
        <v>0</v>
      </c>
      <c r="AA15" s="18" t="b">
        <v>0</v>
      </c>
      <c r="AB15" s="18" t="b">
        <v>1</v>
      </c>
      <c r="AC15" s="18" t="b">
        <v>1</v>
      </c>
      <c r="AD15" s="18" t="b">
        <v>1</v>
      </c>
      <c r="AE15" s="18" t="b">
        <v>0</v>
      </c>
      <c r="AF15" s="18" t="b">
        <v>0</v>
      </c>
      <c r="AG15" s="18" t="b">
        <v>0</v>
      </c>
      <c r="AH15" s="18" t="b">
        <v>0</v>
      </c>
      <c r="AI15" s="18" t="b">
        <v>0</v>
      </c>
      <c r="AJ15" s="18" t="b">
        <v>1</v>
      </c>
      <c r="AK15" s="18" t="b">
        <v>0</v>
      </c>
      <c r="AL15" s="18" t="b">
        <v>0</v>
      </c>
      <c r="AM15" s="18" t="b">
        <v>0</v>
      </c>
      <c r="AN15" s="18" t="b">
        <v>0</v>
      </c>
      <c r="AO15" s="18" t="b">
        <v>0</v>
      </c>
      <c r="AP15" s="18" t="b">
        <v>1</v>
      </c>
      <c r="AQ15" s="18" t="b">
        <v>1</v>
      </c>
      <c r="AR15" s="18" t="b">
        <v>1</v>
      </c>
      <c r="AS15" s="18" t="b">
        <v>1</v>
      </c>
      <c r="AT15" s="18" t="b">
        <v>1</v>
      </c>
      <c r="AU15" s="18" t="b">
        <v>1</v>
      </c>
      <c r="AV15" s="18" t="b">
        <v>1</v>
      </c>
      <c r="AW15" s="18" t="b">
        <v>1</v>
      </c>
      <c r="AX15" s="18" t="b">
        <v>0</v>
      </c>
      <c r="AY15" s="18" t="b">
        <v>1</v>
      </c>
      <c r="AZ15" s="18" t="b">
        <v>1</v>
      </c>
      <c r="BA15" s="18" t="b">
        <v>1</v>
      </c>
      <c r="BB15" s="18" t="b">
        <v>0</v>
      </c>
      <c r="BC15" s="18" t="b">
        <v>0</v>
      </c>
      <c r="BD15" s="18" t="b">
        <v>1</v>
      </c>
      <c r="BE15" s="18" t="b">
        <v>0</v>
      </c>
      <c r="BF15" s="18" t="b">
        <v>1</v>
      </c>
      <c r="BG15" s="18" t="b">
        <v>1</v>
      </c>
      <c r="BH15" s="18" t="b">
        <v>1</v>
      </c>
      <c r="BI15" s="18" t="b">
        <v>1</v>
      </c>
      <c r="BJ15" s="18" t="b">
        <v>0</v>
      </c>
    </row>
    <row r="16" spans="1:62" ht="12.75">
      <c r="A16" s="18" t="s">
        <v>47</v>
      </c>
      <c r="B16" s="18" t="s">
        <v>71</v>
      </c>
      <c r="C16" s="18">
        <f>COUNTIF(Begin!$G$12:$I$31,A16)</f>
        <v>0</v>
      </c>
      <c r="D16" s="19" t="s">
        <v>77</v>
      </c>
      <c r="E16" s="18">
        <f>TRUNC(C16/2)</f>
        <v>0</v>
      </c>
      <c r="F16" s="18">
        <f>TRUNC(C16/3)</f>
        <v>0</v>
      </c>
      <c r="G16" s="18">
        <f>TRUNC(C16/3)</f>
        <v>0</v>
      </c>
      <c r="H16" s="18">
        <f>IF(C16=0,0,TRUNC(C16/2)+2)</f>
        <v>0</v>
      </c>
      <c r="I16" s="19">
        <v>2</v>
      </c>
      <c r="J16" s="19" t="b">
        <v>1</v>
      </c>
      <c r="K16" s="18" t="b">
        <v>0</v>
      </c>
      <c r="L16" s="18" t="b">
        <v>0</v>
      </c>
      <c r="M16" s="18" t="b">
        <v>1</v>
      </c>
      <c r="N16" s="18" t="b">
        <v>0</v>
      </c>
      <c r="O16" s="18" t="b">
        <v>1</v>
      </c>
      <c r="P16" s="18" t="b">
        <v>1</v>
      </c>
      <c r="Q16" s="18" t="b">
        <v>1</v>
      </c>
      <c r="R16" s="18" t="b">
        <v>1</v>
      </c>
      <c r="S16" s="18" t="b">
        <v>0</v>
      </c>
      <c r="T16" s="18" t="b">
        <v>0</v>
      </c>
      <c r="U16" s="18" t="b">
        <v>0</v>
      </c>
      <c r="V16" s="18" t="b">
        <v>0</v>
      </c>
      <c r="W16" s="18" t="b">
        <v>0</v>
      </c>
      <c r="X16" s="18" t="b">
        <v>0</v>
      </c>
      <c r="Y16" s="18" t="b">
        <v>0</v>
      </c>
      <c r="Z16" s="18" t="b">
        <v>0</v>
      </c>
      <c r="AA16" s="18" t="b">
        <v>0</v>
      </c>
      <c r="AB16" s="18" t="b">
        <v>0</v>
      </c>
      <c r="AC16" s="18" t="b">
        <v>0</v>
      </c>
      <c r="AD16" s="18" t="b">
        <v>0</v>
      </c>
      <c r="AE16" s="18" t="b">
        <v>1</v>
      </c>
      <c r="AF16" s="18" t="b">
        <v>0</v>
      </c>
      <c r="AG16" s="18" t="b">
        <v>0</v>
      </c>
      <c r="AH16" s="18" t="b">
        <v>0</v>
      </c>
      <c r="AI16" s="18" t="b">
        <v>0</v>
      </c>
      <c r="AJ16" s="18" t="b">
        <v>0</v>
      </c>
      <c r="AK16" s="18" t="b">
        <v>0</v>
      </c>
      <c r="AL16" s="18" t="b">
        <v>0</v>
      </c>
      <c r="AM16" s="18" t="b">
        <v>0</v>
      </c>
      <c r="AN16" s="18" t="b">
        <v>0</v>
      </c>
      <c r="AO16" s="18" t="b">
        <v>0</v>
      </c>
      <c r="AP16" s="18" t="b">
        <v>0</v>
      </c>
      <c r="AQ16" s="18" t="b">
        <v>0</v>
      </c>
      <c r="AR16" s="18" t="b">
        <v>0</v>
      </c>
      <c r="AS16" s="18" t="b">
        <v>0</v>
      </c>
      <c r="AT16" s="18" t="b">
        <v>0</v>
      </c>
      <c r="AU16" s="18" t="b">
        <v>0</v>
      </c>
      <c r="AV16" s="18" t="b">
        <v>1</v>
      </c>
      <c r="AW16" s="18" t="b">
        <v>1</v>
      </c>
      <c r="AX16" s="18" t="b">
        <v>0</v>
      </c>
      <c r="AY16" s="18" t="b">
        <v>0</v>
      </c>
      <c r="AZ16" s="18" t="b">
        <v>0</v>
      </c>
      <c r="BA16" s="18" t="b">
        <v>0</v>
      </c>
      <c r="BB16" s="18" t="b">
        <v>0</v>
      </c>
      <c r="BC16" s="18" t="b">
        <v>1</v>
      </c>
      <c r="BD16" s="18" t="b">
        <v>0</v>
      </c>
      <c r="BE16" s="18" t="b">
        <v>0</v>
      </c>
      <c r="BF16" s="18" t="b">
        <v>0</v>
      </c>
      <c r="BG16" s="18" t="b">
        <v>0</v>
      </c>
      <c r="BH16" s="18" t="b">
        <v>0</v>
      </c>
      <c r="BI16" s="18" t="b">
        <v>0</v>
      </c>
      <c r="BJ16" s="18" t="b">
        <v>0</v>
      </c>
    </row>
    <row r="17" spans="1:62" ht="12.75">
      <c r="A17" s="18" t="s">
        <v>49</v>
      </c>
      <c r="B17" s="18" t="s">
        <v>72</v>
      </c>
      <c r="C17" s="18">
        <f>COUNTIF(Begin!$G$12:$I$31,A17)</f>
        <v>0</v>
      </c>
      <c r="D17" s="19" t="s">
        <v>75</v>
      </c>
      <c r="E17" s="18">
        <f>C17</f>
        <v>0</v>
      </c>
      <c r="F17" s="18">
        <f>IF(C17=0,0,TRUNC(C17/2)+2)</f>
        <v>0</v>
      </c>
      <c r="G17" s="18">
        <f>TRUNC(C17/3)</f>
        <v>0</v>
      </c>
      <c r="H17" s="18">
        <f>TRUNC(C17/3)</f>
        <v>0</v>
      </c>
      <c r="I17" s="19">
        <v>2</v>
      </c>
      <c r="J17" s="19" t="b">
        <v>1</v>
      </c>
      <c r="K17" s="18" t="b">
        <v>0</v>
      </c>
      <c r="L17" s="18" t="b">
        <v>0</v>
      </c>
      <c r="M17" s="18" t="b">
        <v>0</v>
      </c>
      <c r="N17" s="18" t="b">
        <v>1</v>
      </c>
      <c r="O17" s="18" t="b">
        <v>0</v>
      </c>
      <c r="P17" s="18" t="b">
        <v>0</v>
      </c>
      <c r="Q17" s="18" t="b">
        <v>0</v>
      </c>
      <c r="R17" s="18" t="b">
        <v>0</v>
      </c>
      <c r="S17" s="18" t="b">
        <v>0</v>
      </c>
      <c r="T17" s="18" t="b">
        <v>0</v>
      </c>
      <c r="U17" s="18" t="b">
        <v>0</v>
      </c>
      <c r="V17" s="18" t="b">
        <v>0</v>
      </c>
      <c r="W17" s="18" t="b">
        <v>0</v>
      </c>
      <c r="X17" s="18" t="b">
        <v>0</v>
      </c>
      <c r="Y17" s="18" t="b">
        <v>0</v>
      </c>
      <c r="Z17" s="18" t="b">
        <v>1</v>
      </c>
      <c r="AA17" s="18" t="b">
        <v>0</v>
      </c>
      <c r="AB17" s="18" t="b">
        <v>0</v>
      </c>
      <c r="AC17" s="18" t="b">
        <v>1</v>
      </c>
      <c r="AD17" s="18" t="b">
        <v>1</v>
      </c>
      <c r="AE17" s="18" t="b">
        <v>0</v>
      </c>
      <c r="AF17" s="18" t="b">
        <v>0</v>
      </c>
      <c r="AG17" s="18" t="b">
        <v>0</v>
      </c>
      <c r="AH17" s="18" t="b">
        <v>0</v>
      </c>
      <c r="AI17" s="18" t="b">
        <v>0</v>
      </c>
      <c r="AJ17" s="18" t="b">
        <v>0</v>
      </c>
      <c r="AK17" s="18" t="b">
        <v>0</v>
      </c>
      <c r="AL17" s="18" t="b">
        <v>0</v>
      </c>
      <c r="AM17" s="18" t="b">
        <v>0</v>
      </c>
      <c r="AN17" s="18" t="b">
        <v>0</v>
      </c>
      <c r="AO17" s="18" t="b">
        <v>0</v>
      </c>
      <c r="AP17" s="18" t="b">
        <v>0</v>
      </c>
      <c r="AQ17" s="18" t="b">
        <v>0</v>
      </c>
      <c r="AR17" s="18" t="b">
        <v>0</v>
      </c>
      <c r="AS17" s="18" t="b">
        <v>0</v>
      </c>
      <c r="AT17" s="18" t="b">
        <v>0</v>
      </c>
      <c r="AU17" s="18" t="b">
        <v>0</v>
      </c>
      <c r="AV17" s="18" t="b">
        <v>0</v>
      </c>
      <c r="AW17" s="18" t="b">
        <v>0</v>
      </c>
      <c r="AX17" s="18" t="b">
        <v>1</v>
      </c>
      <c r="AY17" s="18" t="b">
        <v>0</v>
      </c>
      <c r="AZ17" s="18" t="b">
        <v>0</v>
      </c>
      <c r="BA17" s="18" t="b">
        <v>0</v>
      </c>
      <c r="BB17" s="18" t="b">
        <v>0</v>
      </c>
      <c r="BC17" s="18" t="b">
        <v>0</v>
      </c>
      <c r="BD17" s="18" t="b">
        <v>0</v>
      </c>
      <c r="BE17" s="18" t="b">
        <v>0</v>
      </c>
      <c r="BF17" s="18" t="b">
        <v>1</v>
      </c>
      <c r="BG17" s="18" t="b">
        <v>0</v>
      </c>
      <c r="BH17" s="18" t="b">
        <v>0</v>
      </c>
      <c r="BI17" s="18" t="b">
        <v>0</v>
      </c>
      <c r="BJ17" s="18" t="b">
        <v>0</v>
      </c>
    </row>
    <row r="18" spans="1:62" ht="12.75">
      <c r="A18" s="18" t="s">
        <v>48</v>
      </c>
      <c r="B18" s="18" t="s">
        <v>73</v>
      </c>
      <c r="C18" s="18">
        <f>COUNTIF(Begin!$G$12:$I$31,A18)</f>
        <v>0</v>
      </c>
      <c r="D18" s="19" t="s">
        <v>77</v>
      </c>
      <c r="E18" s="18">
        <f>TRUNC(C18/2)</f>
        <v>0</v>
      </c>
      <c r="F18" s="18">
        <f>TRUNC(C18/3)</f>
        <v>0</v>
      </c>
      <c r="G18" s="18">
        <f>TRUNC(C18/3)</f>
        <v>0</v>
      </c>
      <c r="H18" s="18">
        <f>IF(C18=0,0,TRUNC(C18/2)+2)</f>
        <v>0</v>
      </c>
      <c r="I18" s="19">
        <v>2</v>
      </c>
      <c r="J18" s="19" t="b">
        <v>1</v>
      </c>
      <c r="K18" s="18" t="b">
        <v>0</v>
      </c>
      <c r="L18" s="18" t="b">
        <v>0</v>
      </c>
      <c r="M18" s="18" t="b">
        <v>0</v>
      </c>
      <c r="N18" s="18" t="b">
        <v>0</v>
      </c>
      <c r="O18" s="18" t="b">
        <v>1</v>
      </c>
      <c r="P18" s="18" t="b">
        <v>1</v>
      </c>
      <c r="Q18" s="18" t="b">
        <v>1</v>
      </c>
      <c r="R18" s="18" t="b">
        <v>1</v>
      </c>
      <c r="S18" s="18" t="b">
        <v>1</v>
      </c>
      <c r="T18" s="18" t="b">
        <v>0</v>
      </c>
      <c r="U18" s="18" t="b">
        <v>0</v>
      </c>
      <c r="V18" s="18" t="b">
        <v>0</v>
      </c>
      <c r="W18" s="18" t="b">
        <v>0</v>
      </c>
      <c r="X18" s="18" t="b">
        <v>0</v>
      </c>
      <c r="Y18" s="18" t="b">
        <v>0</v>
      </c>
      <c r="Z18" s="18" t="b">
        <v>0</v>
      </c>
      <c r="AA18" s="18" t="b">
        <v>0</v>
      </c>
      <c r="AB18" s="18" t="b">
        <v>0</v>
      </c>
      <c r="AC18" s="18" t="b">
        <v>0</v>
      </c>
      <c r="AD18" s="18" t="b">
        <v>0</v>
      </c>
      <c r="AE18" s="18" t="b">
        <v>1</v>
      </c>
      <c r="AF18" s="18" t="b">
        <v>1</v>
      </c>
      <c r="AG18" s="18" t="b">
        <v>1</v>
      </c>
      <c r="AH18" s="18" t="b">
        <v>1</v>
      </c>
      <c r="AI18" s="18" t="b">
        <v>1</v>
      </c>
      <c r="AJ18" s="18" t="b">
        <v>1</v>
      </c>
      <c r="AK18" s="18" t="b">
        <v>1</v>
      </c>
      <c r="AL18" s="18" t="b">
        <v>1</v>
      </c>
      <c r="AM18" s="18" t="b">
        <v>1</v>
      </c>
      <c r="AN18" s="18" t="b">
        <v>1</v>
      </c>
      <c r="AO18" s="18" t="b">
        <v>1</v>
      </c>
      <c r="AP18" s="18" t="b">
        <v>0</v>
      </c>
      <c r="AQ18" s="18" t="b">
        <v>0</v>
      </c>
      <c r="AR18" s="18" t="b">
        <v>0</v>
      </c>
      <c r="AS18" s="18" t="b">
        <v>0</v>
      </c>
      <c r="AT18" s="18" t="b">
        <v>0</v>
      </c>
      <c r="AU18" s="18" t="b">
        <v>0</v>
      </c>
      <c r="AV18" s="18" t="b">
        <v>1</v>
      </c>
      <c r="AW18" s="18" t="b">
        <v>1</v>
      </c>
      <c r="AX18" s="18" t="b">
        <v>0</v>
      </c>
      <c r="AY18" s="18" t="b">
        <v>0</v>
      </c>
      <c r="AZ18" s="18" t="b">
        <v>0</v>
      </c>
      <c r="BA18" s="18" t="b">
        <v>0</v>
      </c>
      <c r="BB18" s="18" t="b">
        <v>0</v>
      </c>
      <c r="BC18" s="18" t="b">
        <v>1</v>
      </c>
      <c r="BD18" s="18" t="b">
        <v>0</v>
      </c>
      <c r="BE18" s="18" t="b">
        <v>0</v>
      </c>
      <c r="BF18" s="18" t="b">
        <v>0</v>
      </c>
      <c r="BG18" s="18" t="b">
        <v>0</v>
      </c>
      <c r="BH18" s="18" t="b">
        <v>0</v>
      </c>
      <c r="BI18" s="18" t="b">
        <v>0</v>
      </c>
      <c r="BJ18" s="18" t="b">
        <v>0</v>
      </c>
    </row>
    <row r="19" ht="12.75">
      <c r="B19" s="18">
        <f>ROW(A18)-2</f>
        <v>16</v>
      </c>
    </row>
    <row r="20" spans="1:62" ht="12.75">
      <c r="A20" s="18" t="s">
        <v>116</v>
      </c>
      <c r="B20" s="18" t="s">
        <v>117</v>
      </c>
      <c r="C20" s="18">
        <f>SUM(C3:C18)</f>
        <v>0</v>
      </c>
      <c r="E20" s="18">
        <f>SUM(E3:E18)</f>
        <v>0</v>
      </c>
      <c r="F20" s="18">
        <f>SUM(F3:F18)</f>
        <v>0</v>
      </c>
      <c r="G20" s="18">
        <f>SUM(G3:G18)</f>
        <v>0</v>
      </c>
      <c r="H20" s="18">
        <f>SUM(H3:H18)</f>
        <v>0</v>
      </c>
      <c r="K20" s="18" t="b">
        <f>SUMIF(K3:K18,TRUE,$C3:$C18)&gt;0</f>
        <v>0</v>
      </c>
      <c r="L20" s="18" t="b">
        <f aca="true" t="shared" si="0" ref="L20:BJ20">SUMIF(L3:L18,TRUE,$C3:$C18)&gt;0</f>
        <v>0</v>
      </c>
      <c r="M20" s="18" t="b">
        <f t="shared" si="0"/>
        <v>0</v>
      </c>
      <c r="N20" s="18" t="b">
        <f t="shared" si="0"/>
        <v>0</v>
      </c>
      <c r="O20" s="18" t="b">
        <f t="shared" si="0"/>
        <v>0</v>
      </c>
      <c r="P20" s="18" t="b">
        <f t="shared" si="0"/>
        <v>0</v>
      </c>
      <c r="Q20" s="18" t="b">
        <f t="shared" si="0"/>
        <v>0</v>
      </c>
      <c r="R20" s="18" t="b">
        <f t="shared" si="0"/>
        <v>0</v>
      </c>
      <c r="S20" s="18" t="b">
        <f t="shared" si="0"/>
        <v>0</v>
      </c>
      <c r="T20" s="18" t="b">
        <f t="shared" si="0"/>
        <v>0</v>
      </c>
      <c r="U20" s="18" t="b">
        <f t="shared" si="0"/>
        <v>0</v>
      </c>
      <c r="V20" s="18" t="b">
        <f t="shared" si="0"/>
        <v>0</v>
      </c>
      <c r="W20" s="18" t="b">
        <f t="shared" si="0"/>
        <v>0</v>
      </c>
      <c r="X20" s="18" t="b">
        <f t="shared" si="0"/>
        <v>0</v>
      </c>
      <c r="Y20" s="18" t="b">
        <f t="shared" si="0"/>
        <v>0</v>
      </c>
      <c r="Z20" s="18" t="b">
        <f t="shared" si="0"/>
        <v>0</v>
      </c>
      <c r="AA20" s="18" t="b">
        <f t="shared" si="0"/>
        <v>0</v>
      </c>
      <c r="AB20" s="18" t="b">
        <f t="shared" si="0"/>
        <v>0</v>
      </c>
      <c r="AC20" s="18" t="b">
        <f t="shared" si="0"/>
        <v>0</v>
      </c>
      <c r="AD20" s="18" t="b">
        <f t="shared" si="0"/>
        <v>0</v>
      </c>
      <c r="AE20" s="18" t="b">
        <f t="shared" si="0"/>
        <v>0</v>
      </c>
      <c r="AF20" s="18" t="b">
        <f t="shared" si="0"/>
        <v>0</v>
      </c>
      <c r="AG20" s="18" t="b">
        <f t="shared" si="0"/>
        <v>0</v>
      </c>
      <c r="AH20" s="18" t="b">
        <f t="shared" si="0"/>
        <v>0</v>
      </c>
      <c r="AI20" s="18" t="b">
        <f t="shared" si="0"/>
        <v>0</v>
      </c>
      <c r="AJ20" s="18" t="b">
        <f t="shared" si="0"/>
        <v>0</v>
      </c>
      <c r="AK20" s="18" t="b">
        <f t="shared" si="0"/>
        <v>0</v>
      </c>
      <c r="AL20" s="18" t="b">
        <f t="shared" si="0"/>
        <v>0</v>
      </c>
      <c r="AM20" s="18" t="b">
        <f t="shared" si="0"/>
        <v>0</v>
      </c>
      <c r="AN20" s="18" t="b">
        <f t="shared" si="0"/>
        <v>0</v>
      </c>
      <c r="AO20" s="18" t="b">
        <f t="shared" si="0"/>
        <v>0</v>
      </c>
      <c r="AP20" s="18" t="b">
        <f t="shared" si="0"/>
        <v>0</v>
      </c>
      <c r="AQ20" s="18" t="b">
        <f t="shared" si="0"/>
        <v>0</v>
      </c>
      <c r="AR20" s="18" t="b">
        <f t="shared" si="0"/>
        <v>0</v>
      </c>
      <c r="AS20" s="18" t="b">
        <f t="shared" si="0"/>
        <v>0</v>
      </c>
      <c r="AT20" s="18" t="b">
        <f t="shared" si="0"/>
        <v>0</v>
      </c>
      <c r="AU20" s="18" t="b">
        <f t="shared" si="0"/>
        <v>0</v>
      </c>
      <c r="AV20" s="18" t="b">
        <f t="shared" si="0"/>
        <v>0</v>
      </c>
      <c r="AW20" s="18" t="b">
        <f t="shared" si="0"/>
        <v>0</v>
      </c>
      <c r="AX20" s="18" t="b">
        <f t="shared" si="0"/>
        <v>0</v>
      </c>
      <c r="AY20" s="18" t="b">
        <f t="shared" si="0"/>
        <v>0</v>
      </c>
      <c r="AZ20" s="18" t="b">
        <f t="shared" si="0"/>
        <v>0</v>
      </c>
      <c r="BA20" s="18" t="b">
        <f t="shared" si="0"/>
        <v>0</v>
      </c>
      <c r="BB20" s="18" t="b">
        <f t="shared" si="0"/>
        <v>0</v>
      </c>
      <c r="BC20" s="18" t="b">
        <f t="shared" si="0"/>
        <v>0</v>
      </c>
      <c r="BD20" s="18" t="b">
        <f t="shared" si="0"/>
        <v>0</v>
      </c>
      <c r="BE20" s="18" t="b">
        <f t="shared" si="0"/>
        <v>0</v>
      </c>
      <c r="BF20" s="18" t="b">
        <f t="shared" si="0"/>
        <v>0</v>
      </c>
      <c r="BG20" s="18" t="b">
        <f t="shared" si="0"/>
        <v>0</v>
      </c>
      <c r="BH20" s="18" t="b">
        <f t="shared" si="0"/>
        <v>0</v>
      </c>
      <c r="BI20" s="18" t="b">
        <f t="shared" si="0"/>
        <v>0</v>
      </c>
      <c r="BJ20" s="18" t="b">
        <f t="shared" si="0"/>
        <v>0</v>
      </c>
    </row>
    <row r="21" spans="2:3" ht="12.75">
      <c r="B21" s="18" t="s">
        <v>118</v>
      </c>
      <c r="C21" s="18">
        <f>COUNTIF(C3:C18,"&gt;0")</f>
        <v>0</v>
      </c>
    </row>
    <row r="23" spans="1:2" ht="12.75">
      <c r="A23" s="19"/>
      <c r="B23" s="18" t="s">
        <v>405</v>
      </c>
    </row>
    <row r="24" spans="1:4" ht="12.75">
      <c r="A24" s="19"/>
      <c r="B24" s="18" t="str">
        <f>IF(J3,A3)</f>
        <v>Adept</v>
      </c>
      <c r="C24" s="18">
        <f ca="1">MATCH("*",B24:OFFSET(B23,HowManyClasses,0),0)</f>
        <v>1</v>
      </c>
      <c r="D24" s="18" t="str">
        <f ca="1">IF(ISNA(C24),"^",OFFSET(B$23,C24,0))</f>
        <v>Adept</v>
      </c>
    </row>
    <row r="25" spans="1:4" ht="12.75">
      <c r="A25" s="19"/>
      <c r="B25" s="18" t="str">
        <f aca="true" t="shared" si="1" ref="B25:B47">IF(J4,A4)</f>
        <v>Aristocrat</v>
      </c>
      <c r="C25" s="18">
        <f ca="1">MATCH("*",OFFSET(B$24,C24,0):OFFSET(B$24,HowManyClasses,0),0)+C24</f>
        <v>2</v>
      </c>
      <c r="D25" s="18" t="str">
        <f aca="true" ca="1" t="shared" si="2" ref="D25:D39">IF(ISNA(C25),"^",OFFSET(B$23,C25,0))</f>
        <v>Aristocrat</v>
      </c>
    </row>
    <row r="26" spans="1:4" ht="12.75">
      <c r="A26" s="19"/>
      <c r="B26" s="18" t="str">
        <f t="shared" si="1"/>
        <v>Barbarian</v>
      </c>
      <c r="C26" s="18">
        <f ca="1">MATCH("*",OFFSET(B$24,C25,0):OFFSET(B$24,HowManyClasses,0),0)+C25</f>
        <v>3</v>
      </c>
      <c r="D26" s="18" t="str">
        <f ca="1" t="shared" si="2"/>
        <v>Barbarian</v>
      </c>
    </row>
    <row r="27" spans="1:4" ht="12.75">
      <c r="A27" s="19"/>
      <c r="B27" s="18" t="str">
        <f t="shared" si="1"/>
        <v>Bard</v>
      </c>
      <c r="C27" s="18">
        <f ca="1">MATCH("*",OFFSET(B$24,C26,0):OFFSET(B$24,HowManyClasses,0),0)+C26</f>
        <v>4</v>
      </c>
      <c r="D27" s="18" t="str">
        <f ca="1" t="shared" si="2"/>
        <v>Bard</v>
      </c>
    </row>
    <row r="28" spans="1:4" ht="12.75">
      <c r="A28" s="19"/>
      <c r="B28" s="18" t="str">
        <f t="shared" si="1"/>
        <v>Cleric</v>
      </c>
      <c r="C28" s="18">
        <f ca="1">MATCH("*",OFFSET(B$24,C27,0):OFFSET(B$24,HowManyClasses,0),0)+C27</f>
        <v>5</v>
      </c>
      <c r="D28" s="18" t="str">
        <f ca="1" t="shared" si="2"/>
        <v>Cleric</v>
      </c>
    </row>
    <row r="29" spans="1:4" ht="12.75">
      <c r="A29" s="19"/>
      <c r="B29" s="18" t="str">
        <f t="shared" si="1"/>
        <v>Commoner</v>
      </c>
      <c r="C29" s="18">
        <f ca="1">MATCH("*",OFFSET(B$24,C28,0):OFFSET(B$24,HowManyClasses,0),0)+C28</f>
        <v>6</v>
      </c>
      <c r="D29" s="18" t="str">
        <f ca="1" t="shared" si="2"/>
        <v>Commoner</v>
      </c>
    </row>
    <row r="30" spans="1:4" ht="12.75">
      <c r="A30" s="19"/>
      <c r="B30" s="18" t="str">
        <f t="shared" si="1"/>
        <v>Druid</v>
      </c>
      <c r="C30" s="18">
        <f ca="1">MATCH("*",OFFSET(B$24,C29,0):OFFSET(B$24,HowManyClasses,0),0)+C29</f>
        <v>7</v>
      </c>
      <c r="D30" s="18" t="str">
        <f ca="1" t="shared" si="2"/>
        <v>Druid</v>
      </c>
    </row>
    <row r="31" spans="1:4" ht="12.75">
      <c r="A31" s="19"/>
      <c r="B31" s="18" t="str">
        <f t="shared" si="1"/>
        <v>Expert</v>
      </c>
      <c r="C31" s="18">
        <f ca="1">MATCH("*",OFFSET(B$24,C30,0):OFFSET(B$24,HowManyClasses,0),0)+C30</f>
        <v>8</v>
      </c>
      <c r="D31" s="18" t="str">
        <f ca="1" t="shared" si="2"/>
        <v>Expert</v>
      </c>
    </row>
    <row r="32" spans="1:4" ht="12.75">
      <c r="A32" s="19"/>
      <c r="B32" s="18" t="str">
        <f t="shared" si="1"/>
        <v>Fighter</v>
      </c>
      <c r="C32" s="18">
        <f ca="1">MATCH("*",OFFSET(B$24,C31,0):OFFSET(B$24,HowManyClasses,0),0)+C31</f>
        <v>9</v>
      </c>
      <c r="D32" s="18" t="str">
        <f ca="1" t="shared" si="2"/>
        <v>Fighter</v>
      </c>
    </row>
    <row r="33" spans="1:4" ht="12.75">
      <c r="A33" s="19"/>
      <c r="B33" s="18" t="b">
        <f t="shared" si="1"/>
        <v>0</v>
      </c>
      <c r="C33" s="18">
        <f ca="1">MATCH("*",OFFSET(B$24,C32,0):OFFSET(B$24,HowManyClasses,0),0)+C32</f>
        <v>12</v>
      </c>
      <c r="D33" s="18" t="str">
        <f ca="1" t="shared" si="2"/>
        <v>Ranger</v>
      </c>
    </row>
    <row r="34" spans="1:4" ht="12.75">
      <c r="A34" s="19"/>
      <c r="B34" s="18" t="b">
        <f t="shared" si="1"/>
        <v>0</v>
      </c>
      <c r="C34" s="18">
        <f ca="1">MATCH("*",OFFSET(B$24,C33,0):OFFSET(B$24,HowManyClasses,0),0)+C33</f>
        <v>13</v>
      </c>
      <c r="D34" s="18" t="str">
        <f ca="1" t="shared" si="2"/>
        <v>Rogue</v>
      </c>
    </row>
    <row r="35" spans="1:4" ht="12.75">
      <c r="A35" s="19"/>
      <c r="B35" s="18" t="str">
        <f t="shared" si="1"/>
        <v>Ranger</v>
      </c>
      <c r="C35" s="18">
        <f ca="1">MATCH("*",OFFSET(B$24,C34,0):OFFSET(B$24,HowManyClasses,0),0)+C34</f>
        <v>14</v>
      </c>
      <c r="D35" s="18" t="str">
        <f ca="1" t="shared" si="2"/>
        <v>Sorcerer</v>
      </c>
    </row>
    <row r="36" spans="1:4" ht="12.75">
      <c r="A36" s="19"/>
      <c r="B36" s="18" t="str">
        <f t="shared" si="1"/>
        <v>Rogue</v>
      </c>
      <c r="C36" s="18">
        <f ca="1">MATCH("*",OFFSET(B$24,C35,0):OFFSET(B$24,HowManyClasses,0),0)+C35</f>
        <v>15</v>
      </c>
      <c r="D36" s="18" t="str">
        <f ca="1" t="shared" si="2"/>
        <v>Warrior</v>
      </c>
    </row>
    <row r="37" spans="1:4" ht="12.75">
      <c r="A37" s="19"/>
      <c r="B37" s="18" t="str">
        <f t="shared" si="1"/>
        <v>Sorcerer</v>
      </c>
      <c r="C37" s="18">
        <f ca="1">MATCH("*",OFFSET(B$24,C36,0):OFFSET(B$24,HowManyClasses,0),0)+C36</f>
        <v>16</v>
      </c>
      <c r="D37" s="18" t="str">
        <f ca="1" t="shared" si="2"/>
        <v>Wizard</v>
      </c>
    </row>
    <row r="38" spans="1:4" ht="12.75">
      <c r="A38" s="19"/>
      <c r="B38" s="18" t="str">
        <f t="shared" si="1"/>
        <v>Warrior</v>
      </c>
      <c r="C38" s="18" t="e">
        <f ca="1">MATCH("*",OFFSET(B$24,C37,0):OFFSET(B$24,HowManyClasses,0),0)+C37</f>
        <v>#N/A</v>
      </c>
      <c r="D38" s="18" t="str">
        <f ca="1" t="shared" si="2"/>
        <v>^</v>
      </c>
    </row>
    <row r="39" spans="1:4" ht="12.75">
      <c r="A39" s="19"/>
      <c r="B39" s="18" t="str">
        <f t="shared" si="1"/>
        <v>Wizard</v>
      </c>
      <c r="C39" s="18" t="e">
        <f ca="1">MATCH("*",OFFSET(B$24,C38,0):OFFSET(B$24,HowManyClasses,0),0)+C38</f>
        <v>#N/A</v>
      </c>
      <c r="D39" s="18" t="str">
        <f ca="1" t="shared" si="2"/>
        <v>^</v>
      </c>
    </row>
    <row r="40" spans="1:4" ht="12.75">
      <c r="A40" s="19"/>
      <c r="B40" s="18" t="b">
        <f t="shared" si="1"/>
        <v>0</v>
      </c>
      <c r="C40" s="18" t="e">
        <f ca="1">MATCH("*",OFFSET(B$24,C39,0):OFFSET(B$24,HowManyClasses,0),0)+C39</f>
        <v>#N/A</v>
      </c>
      <c r="D40" s="18" t="str">
        <f aca="true" ca="1" t="shared" si="3" ref="D40:D47">IF(ISNA(C40),"^",OFFSET(B$23,C40,0))</f>
        <v>^</v>
      </c>
    </row>
    <row r="41" spans="1:4" ht="12.75">
      <c r="A41" s="19"/>
      <c r="B41" s="18" t="b">
        <f t="shared" si="1"/>
        <v>0</v>
      </c>
      <c r="C41" s="18" t="e">
        <f ca="1">MATCH("*",OFFSET(B$24,C40,0):OFFSET(B$24,HowManyClasses,0),0)+C40</f>
        <v>#N/A</v>
      </c>
      <c r="D41" s="18" t="str">
        <f ca="1" t="shared" si="3"/>
        <v>^</v>
      </c>
    </row>
    <row r="42" spans="1:4" ht="12.75">
      <c r="A42" s="19"/>
      <c r="B42" s="18" t="b">
        <f t="shared" si="1"/>
        <v>0</v>
      </c>
      <c r="C42" s="18" t="e">
        <f ca="1">MATCH("*",OFFSET(B$24,C41,0):OFFSET(B$24,HowManyClasses,0),0)+C41</f>
        <v>#N/A</v>
      </c>
      <c r="D42" s="18" t="str">
        <f ca="1" t="shared" si="3"/>
        <v>^</v>
      </c>
    </row>
    <row r="43" spans="1:4" ht="12.75">
      <c r="A43" s="19"/>
      <c r="B43" s="18" t="b">
        <f t="shared" si="1"/>
        <v>0</v>
      </c>
      <c r="C43" s="18" t="e">
        <f ca="1">MATCH("*",OFFSET(B$24,C42,0):OFFSET(B$24,HowManyClasses,0),0)+C42</f>
        <v>#N/A</v>
      </c>
      <c r="D43" s="18" t="str">
        <f ca="1" t="shared" si="3"/>
        <v>^</v>
      </c>
    </row>
    <row r="44" spans="1:4" ht="12.75">
      <c r="A44" s="19"/>
      <c r="B44" s="18" t="b">
        <f t="shared" si="1"/>
        <v>0</v>
      </c>
      <c r="C44" s="18" t="e">
        <f ca="1">MATCH("*",OFFSET(B$24,C43,0):OFFSET(B$24,HowManyClasses,0),0)+C43</f>
        <v>#N/A</v>
      </c>
      <c r="D44" s="18" t="str">
        <f ca="1" t="shared" si="3"/>
        <v>^</v>
      </c>
    </row>
    <row r="45" spans="1:4" ht="12.75">
      <c r="A45" s="19"/>
      <c r="B45" s="18" t="b">
        <f t="shared" si="1"/>
        <v>0</v>
      </c>
      <c r="C45" s="18" t="e">
        <f ca="1">MATCH("*",OFFSET(B$24,C44,0):OFFSET(B$24,HowManyClasses,0),0)+C44</f>
        <v>#N/A</v>
      </c>
      <c r="D45" s="18" t="str">
        <f ca="1" t="shared" si="3"/>
        <v>^</v>
      </c>
    </row>
    <row r="46" spans="1:4" ht="12.75">
      <c r="A46" s="19"/>
      <c r="B46" s="18" t="b">
        <f t="shared" si="1"/>
        <v>0</v>
      </c>
      <c r="C46" s="18" t="e">
        <f ca="1">MATCH("*",OFFSET(B$24,C45,0):OFFSET(B$24,HowManyClasses,0),0)+C45</f>
        <v>#N/A</v>
      </c>
      <c r="D46" s="18" t="str">
        <f ca="1" t="shared" si="3"/>
        <v>^</v>
      </c>
    </row>
    <row r="47" spans="2:4" ht="12.75">
      <c r="B47" s="18" t="b">
        <f t="shared" si="1"/>
        <v>0</v>
      </c>
      <c r="C47" s="18" t="e">
        <f ca="1">MATCH("*",OFFSET(B$24,C46,0):OFFSET(B$24,HowManyClasses,0),0)+C46</f>
        <v>#N/A</v>
      </c>
      <c r="D47" s="18" t="str">
        <f ca="1" t="shared" si="3"/>
        <v>^</v>
      </c>
    </row>
  </sheetData>
  <sheetProtection sheet="1" objects="1" scenarios="1"/>
  <mergeCells count="1">
    <mergeCell ref="F1:H1"/>
  </mergeCell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dimension ref="A1:T27"/>
  <sheetViews>
    <sheetView workbookViewId="0" topLeftCell="A1">
      <selection activeCell="A1" sqref="A1"/>
    </sheetView>
  </sheetViews>
  <sheetFormatPr defaultColWidth="9.140625" defaultRowHeight="12.75"/>
  <sheetData>
    <row r="1" spans="1:14" ht="12.75">
      <c r="A1" s="15" t="s">
        <v>18</v>
      </c>
      <c r="B1" t="s">
        <v>80</v>
      </c>
      <c r="C1" t="s">
        <v>82</v>
      </c>
      <c r="D1" t="s">
        <v>83</v>
      </c>
      <c r="E1" t="s">
        <v>85</v>
      </c>
      <c r="F1" t="s">
        <v>86</v>
      </c>
      <c r="G1" t="s">
        <v>87</v>
      </c>
      <c r="H1" t="s">
        <v>88</v>
      </c>
      <c r="I1" t="s">
        <v>89</v>
      </c>
      <c r="J1" t="s">
        <v>90</v>
      </c>
      <c r="K1" t="s">
        <v>91</v>
      </c>
      <c r="L1" t="s">
        <v>92</v>
      </c>
      <c r="M1" s="15"/>
      <c r="N1" s="51" t="s">
        <v>395</v>
      </c>
    </row>
    <row r="2" spans="1:20" ht="12.75">
      <c r="A2" s="15" t="s">
        <v>15</v>
      </c>
      <c r="B2" t="s">
        <v>81</v>
      </c>
      <c r="C2" t="s">
        <v>81</v>
      </c>
      <c r="D2" t="s">
        <v>84</v>
      </c>
      <c r="E2" t="s">
        <v>84</v>
      </c>
      <c r="F2" t="s">
        <v>81</v>
      </c>
      <c r="G2" t="s">
        <v>84</v>
      </c>
      <c r="H2" t="s">
        <v>81</v>
      </c>
      <c r="I2" t="s">
        <v>81</v>
      </c>
      <c r="J2" t="s">
        <v>81</v>
      </c>
      <c r="K2" t="s">
        <v>84</v>
      </c>
      <c r="L2" t="s">
        <v>81</v>
      </c>
      <c r="M2" s="16"/>
      <c r="N2" t="s">
        <v>15</v>
      </c>
      <c r="O2" t="s">
        <v>396</v>
      </c>
      <c r="P2" t="s">
        <v>397</v>
      </c>
      <c r="Q2" t="s">
        <v>638</v>
      </c>
      <c r="R2" t="s">
        <v>639</v>
      </c>
      <c r="S2" t="s">
        <v>790</v>
      </c>
      <c r="T2" t="s">
        <v>791</v>
      </c>
    </row>
    <row r="3" spans="1:20" ht="12.75">
      <c r="A3" s="15" t="s">
        <v>115</v>
      </c>
      <c r="B3">
        <v>20</v>
      </c>
      <c r="C3">
        <v>30</v>
      </c>
      <c r="D3">
        <v>20</v>
      </c>
      <c r="E3">
        <v>30</v>
      </c>
      <c r="F3">
        <v>30</v>
      </c>
      <c r="G3">
        <v>20</v>
      </c>
      <c r="H3">
        <v>30</v>
      </c>
      <c r="I3">
        <v>30</v>
      </c>
      <c r="J3">
        <v>30</v>
      </c>
      <c r="K3">
        <v>30</v>
      </c>
      <c r="L3">
        <v>30</v>
      </c>
      <c r="N3" t="s">
        <v>398</v>
      </c>
      <c r="O3">
        <v>-8</v>
      </c>
      <c r="P3">
        <v>16</v>
      </c>
      <c r="Q3">
        <v>16</v>
      </c>
      <c r="R3">
        <v>24</v>
      </c>
      <c r="S3">
        <v>12</v>
      </c>
      <c r="T3">
        <v>16</v>
      </c>
    </row>
    <row r="4" spans="1:20" ht="12.75">
      <c r="A4" s="15" t="s">
        <v>79</v>
      </c>
      <c r="B4">
        <v>0</v>
      </c>
      <c r="C4">
        <v>0</v>
      </c>
      <c r="D4">
        <v>0</v>
      </c>
      <c r="E4">
        <v>0</v>
      </c>
      <c r="F4">
        <v>0</v>
      </c>
      <c r="G4">
        <v>0</v>
      </c>
      <c r="H4">
        <v>0</v>
      </c>
      <c r="I4">
        <v>0</v>
      </c>
      <c r="J4">
        <v>0</v>
      </c>
      <c r="K4">
        <v>1</v>
      </c>
      <c r="L4">
        <v>0</v>
      </c>
      <c r="N4" t="s">
        <v>403</v>
      </c>
      <c r="O4">
        <v>4</v>
      </c>
      <c r="P4">
        <v>-12</v>
      </c>
      <c r="Q4">
        <v>0.25</v>
      </c>
      <c r="R4">
        <v>0.5</v>
      </c>
      <c r="S4">
        <v>0.1</v>
      </c>
      <c r="T4">
        <v>0.125</v>
      </c>
    </row>
    <row r="5" spans="1:20" ht="12.75">
      <c r="A5" s="15" t="s">
        <v>114</v>
      </c>
      <c r="B5" t="s">
        <v>93</v>
      </c>
      <c r="C5" t="s">
        <v>101</v>
      </c>
      <c r="D5" t="s">
        <v>103</v>
      </c>
      <c r="E5" t="s">
        <v>93</v>
      </c>
      <c r="F5" t="s">
        <v>109</v>
      </c>
      <c r="G5" s="16" t="s">
        <v>111</v>
      </c>
      <c r="H5" t="s">
        <v>93</v>
      </c>
      <c r="I5" t="s">
        <v>93</v>
      </c>
      <c r="J5" t="s">
        <v>104</v>
      </c>
      <c r="K5" t="s">
        <v>113</v>
      </c>
      <c r="L5" t="s">
        <v>113</v>
      </c>
      <c r="N5" t="s">
        <v>404</v>
      </c>
      <c r="O5">
        <v>8</v>
      </c>
      <c r="P5">
        <v>-16</v>
      </c>
      <c r="Q5">
        <v>0.125</v>
      </c>
      <c r="R5">
        <v>0.25</v>
      </c>
      <c r="S5">
        <v>0.1</v>
      </c>
      <c r="T5">
        <v>0.0625</v>
      </c>
    </row>
    <row r="6" spans="1:20" ht="12.75">
      <c r="A6" s="15"/>
      <c r="B6" t="s">
        <v>94</v>
      </c>
      <c r="C6" s="16" t="s">
        <v>102</v>
      </c>
      <c r="D6" s="16" t="s">
        <v>105</v>
      </c>
      <c r="E6" t="s">
        <v>104</v>
      </c>
      <c r="F6" s="16" t="s">
        <v>102</v>
      </c>
      <c r="G6" t="s">
        <v>104</v>
      </c>
      <c r="H6" t="s">
        <v>112</v>
      </c>
      <c r="I6" t="s">
        <v>104</v>
      </c>
      <c r="J6" t="s">
        <v>104</v>
      </c>
      <c r="K6" t="s">
        <v>93</v>
      </c>
      <c r="L6" t="s">
        <v>93</v>
      </c>
      <c r="N6" t="s">
        <v>399</v>
      </c>
      <c r="O6">
        <v>-4</v>
      </c>
      <c r="P6">
        <v>12</v>
      </c>
      <c r="Q6">
        <v>8</v>
      </c>
      <c r="R6">
        <v>12</v>
      </c>
      <c r="S6">
        <v>8</v>
      </c>
      <c r="T6">
        <v>8</v>
      </c>
    </row>
    <row r="7" spans="1:20" ht="12.75">
      <c r="A7" s="15"/>
      <c r="B7" s="16" t="s">
        <v>95</v>
      </c>
      <c r="C7" t="s">
        <v>103</v>
      </c>
      <c r="D7" s="16" t="s">
        <v>106</v>
      </c>
      <c r="E7" t="s">
        <v>104</v>
      </c>
      <c r="F7" t="s">
        <v>103</v>
      </c>
      <c r="G7" t="s">
        <v>104</v>
      </c>
      <c r="H7" t="s">
        <v>104</v>
      </c>
      <c r="I7" t="s">
        <v>104</v>
      </c>
      <c r="J7" t="s">
        <v>104</v>
      </c>
      <c r="K7" t="s">
        <v>104</v>
      </c>
      <c r="L7" t="s">
        <v>104</v>
      </c>
      <c r="N7" t="s">
        <v>400</v>
      </c>
      <c r="O7">
        <v>-2</v>
      </c>
      <c r="P7">
        <v>8</v>
      </c>
      <c r="Q7">
        <v>4</v>
      </c>
      <c r="R7">
        <v>6</v>
      </c>
      <c r="S7">
        <v>5</v>
      </c>
      <c r="T7">
        <v>4</v>
      </c>
    </row>
    <row r="8" spans="1:20" ht="12.75">
      <c r="A8" s="15"/>
      <c r="B8" s="16" t="s">
        <v>96</v>
      </c>
      <c r="C8" t="s">
        <v>104</v>
      </c>
      <c r="D8" s="16" t="s">
        <v>107</v>
      </c>
      <c r="E8" t="s">
        <v>104</v>
      </c>
      <c r="F8" t="s">
        <v>110</v>
      </c>
      <c r="G8" t="s">
        <v>104</v>
      </c>
      <c r="H8" t="s">
        <v>104</v>
      </c>
      <c r="I8" t="s">
        <v>104</v>
      </c>
      <c r="J8" t="s">
        <v>104</v>
      </c>
      <c r="K8" t="s">
        <v>104</v>
      </c>
      <c r="L8" t="s">
        <v>104</v>
      </c>
      <c r="N8" t="s">
        <v>401</v>
      </c>
      <c r="O8">
        <v>-1</v>
      </c>
      <c r="P8">
        <v>4</v>
      </c>
      <c r="Q8">
        <v>2</v>
      </c>
      <c r="R8">
        <v>3</v>
      </c>
      <c r="S8">
        <v>2</v>
      </c>
      <c r="T8">
        <v>2</v>
      </c>
    </row>
    <row r="9" spans="1:20" ht="12.75">
      <c r="A9" s="15"/>
      <c r="B9" s="16" t="s">
        <v>97</v>
      </c>
      <c r="C9" t="s">
        <v>104</v>
      </c>
      <c r="D9" s="16" t="s">
        <v>98</v>
      </c>
      <c r="E9" t="s">
        <v>104</v>
      </c>
      <c r="F9" t="s">
        <v>104</v>
      </c>
      <c r="G9" t="s">
        <v>104</v>
      </c>
      <c r="H9" t="s">
        <v>104</v>
      </c>
      <c r="I9" t="s">
        <v>104</v>
      </c>
      <c r="J9" t="s">
        <v>104</v>
      </c>
      <c r="K9" t="s">
        <v>104</v>
      </c>
      <c r="L9" t="s">
        <v>104</v>
      </c>
      <c r="N9" t="s">
        <v>81</v>
      </c>
      <c r="O9">
        <v>0</v>
      </c>
      <c r="P9">
        <v>0</v>
      </c>
      <c r="Q9">
        <v>1</v>
      </c>
      <c r="R9">
        <v>1.5</v>
      </c>
      <c r="S9">
        <v>1</v>
      </c>
      <c r="T9">
        <v>1</v>
      </c>
    </row>
    <row r="10" spans="1:20" ht="12.75">
      <c r="A10" s="15"/>
      <c r="B10" s="16" t="s">
        <v>98</v>
      </c>
      <c r="C10" t="s">
        <v>104</v>
      </c>
      <c r="D10" t="s">
        <v>108</v>
      </c>
      <c r="E10" t="s">
        <v>104</v>
      </c>
      <c r="F10" t="s">
        <v>104</v>
      </c>
      <c r="G10" t="s">
        <v>104</v>
      </c>
      <c r="H10" t="s">
        <v>104</v>
      </c>
      <c r="I10" t="s">
        <v>104</v>
      </c>
      <c r="J10" t="s">
        <v>104</v>
      </c>
      <c r="K10" t="s">
        <v>104</v>
      </c>
      <c r="L10" t="s">
        <v>104</v>
      </c>
      <c r="N10" t="s">
        <v>84</v>
      </c>
      <c r="O10">
        <v>1</v>
      </c>
      <c r="P10">
        <v>-4</v>
      </c>
      <c r="Q10">
        <v>0.75</v>
      </c>
      <c r="R10">
        <v>1</v>
      </c>
      <c r="S10">
        <v>0.5</v>
      </c>
      <c r="T10">
        <v>0.5</v>
      </c>
    </row>
    <row r="11" spans="1:20" ht="12.75">
      <c r="A11" s="15"/>
      <c r="B11" s="16" t="s">
        <v>99</v>
      </c>
      <c r="C11" t="s">
        <v>104</v>
      </c>
      <c r="D11">
        <f>IF(Cha&gt;=10,"dancing lights 1/day","")</f>
      </c>
      <c r="E11" t="s">
        <v>104</v>
      </c>
      <c r="F11" t="s">
        <v>104</v>
      </c>
      <c r="G11" t="s">
        <v>104</v>
      </c>
      <c r="H11" t="s">
        <v>104</v>
      </c>
      <c r="I11" t="s">
        <v>104</v>
      </c>
      <c r="J11" t="s">
        <v>104</v>
      </c>
      <c r="K11" t="s">
        <v>104</v>
      </c>
      <c r="L11" t="s">
        <v>104</v>
      </c>
      <c r="N11" t="s">
        <v>402</v>
      </c>
      <c r="O11">
        <v>2</v>
      </c>
      <c r="P11">
        <v>-8</v>
      </c>
      <c r="Q11">
        <v>0.5</v>
      </c>
      <c r="R11">
        <v>0.75</v>
      </c>
      <c r="S11">
        <v>0.1</v>
      </c>
      <c r="T11">
        <v>0.25</v>
      </c>
    </row>
    <row r="12" spans="1:12" ht="12.75">
      <c r="A12" s="15"/>
      <c r="B12" s="16" t="s">
        <v>100</v>
      </c>
      <c r="C12" t="s">
        <v>104</v>
      </c>
      <c r="D12">
        <f>IF(Cha&gt;=10,"ghost sound 1/day","")</f>
      </c>
      <c r="E12" t="s">
        <v>104</v>
      </c>
      <c r="F12" t="s">
        <v>104</v>
      </c>
      <c r="G12" t="s">
        <v>104</v>
      </c>
      <c r="H12" t="s">
        <v>104</v>
      </c>
      <c r="I12" t="s">
        <v>104</v>
      </c>
      <c r="J12" t="s">
        <v>104</v>
      </c>
      <c r="K12" t="s">
        <v>104</v>
      </c>
      <c r="L12" t="s">
        <v>104</v>
      </c>
    </row>
    <row r="13" spans="1:12" ht="12.75">
      <c r="A13" s="15"/>
      <c r="B13" t="s">
        <v>104</v>
      </c>
      <c r="C13" t="s">
        <v>104</v>
      </c>
      <c r="D13">
        <f>IF(Cha&gt;=10,"prestidigitation 1/day","")</f>
      </c>
      <c r="E13" t="s">
        <v>104</v>
      </c>
      <c r="F13" t="s">
        <v>104</v>
      </c>
      <c r="G13" t="s">
        <v>104</v>
      </c>
      <c r="H13" t="s">
        <v>104</v>
      </c>
      <c r="I13" t="s">
        <v>104</v>
      </c>
      <c r="J13" t="s">
        <v>104</v>
      </c>
      <c r="K13" t="s">
        <v>104</v>
      </c>
      <c r="L13" t="s">
        <v>104</v>
      </c>
    </row>
    <row r="21" spans="1:13" ht="12.75">
      <c r="A21" s="15"/>
      <c r="B21" s="15"/>
      <c r="C21" s="15"/>
      <c r="D21" s="15"/>
      <c r="E21" s="15"/>
      <c r="F21" s="15"/>
      <c r="G21" s="15"/>
      <c r="H21" s="15"/>
      <c r="I21" s="15"/>
      <c r="J21" s="15"/>
      <c r="K21" s="15"/>
      <c r="L21" s="15"/>
      <c r="M21" s="15"/>
    </row>
    <row r="22" spans="8:13" ht="12.75">
      <c r="H22" s="16"/>
      <c r="I22" s="16"/>
      <c r="J22" s="16"/>
      <c r="K22" s="16"/>
      <c r="L22" s="16"/>
      <c r="M22" s="16"/>
    </row>
    <row r="23" ht="12.75">
      <c r="F23" s="16"/>
    </row>
    <row r="24" spans="6:9" ht="12.75">
      <c r="F24" s="16"/>
      <c r="G24" s="16"/>
      <c r="H24" s="16"/>
      <c r="I24" s="16"/>
    </row>
    <row r="26" ht="12.75">
      <c r="F26" s="16"/>
    </row>
    <row r="27" ht="12.75">
      <c r="E27" s="16"/>
    </row>
  </sheetData>
  <sheetProtection sheet="1" objects="1" scenarios="1"/>
  <printOptions/>
  <pageMargins left="0.75" right="0.75" top="1" bottom="1" header="0.5" footer="0.5"/>
  <pageSetup horizontalDpi="200" verticalDpi="200" orientation="portrait" r:id="rId1"/>
</worksheet>
</file>

<file path=xl/worksheets/sheet8.xml><?xml version="1.0" encoding="utf-8"?>
<worksheet xmlns="http://schemas.openxmlformats.org/spreadsheetml/2006/main" xmlns:r="http://schemas.openxmlformats.org/officeDocument/2006/relationships">
  <dimension ref="A1:BA77"/>
  <sheetViews>
    <sheetView workbookViewId="0" topLeftCell="T1">
      <selection activeCell="V4" sqref="V4"/>
    </sheetView>
  </sheetViews>
  <sheetFormatPr defaultColWidth="9.140625" defaultRowHeight="12.75"/>
  <sheetData>
    <row r="1" spans="1:53" ht="12.75">
      <c r="A1" s="248" t="s">
        <v>389</v>
      </c>
      <c r="B1" s="248"/>
      <c r="C1" s="248"/>
      <c r="D1" s="248"/>
      <c r="E1" s="248"/>
      <c r="F1" s="248"/>
      <c r="G1" s="248"/>
      <c r="H1" s="248"/>
      <c r="I1" s="248"/>
      <c r="J1" s="248"/>
      <c r="L1" s="248" t="s">
        <v>507</v>
      </c>
      <c r="M1" s="248"/>
      <c r="N1" s="248"/>
      <c r="O1" s="248"/>
      <c r="P1" s="248"/>
      <c r="Q1" s="248"/>
      <c r="R1" s="248"/>
      <c r="S1" s="248"/>
      <c r="T1" s="248"/>
      <c r="V1" s="248" t="s">
        <v>771</v>
      </c>
      <c r="W1" s="248"/>
      <c r="X1" s="248"/>
      <c r="Y1" s="248"/>
      <c r="Z1" s="248"/>
      <c r="AA1" s="248"/>
      <c r="AB1" s="248"/>
      <c r="AC1" s="248"/>
      <c r="AD1" s="248"/>
      <c r="AE1" s="248"/>
      <c r="AF1" s="248"/>
      <c r="AH1" s="248" t="s">
        <v>611</v>
      </c>
      <c r="AI1" s="248"/>
      <c r="AK1" s="249" t="s">
        <v>618</v>
      </c>
      <c r="AL1" s="249"/>
      <c r="AN1" s="248" t="s">
        <v>621</v>
      </c>
      <c r="AO1" s="248"/>
      <c r="AP1" s="248"/>
      <c r="AQ1" s="248"/>
      <c r="AS1" s="51" t="s">
        <v>845</v>
      </c>
      <c r="AT1" s="248" t="s">
        <v>846</v>
      </c>
      <c r="AU1" s="248"/>
      <c r="AV1" s="248"/>
      <c r="AY1" s="51" t="s">
        <v>873</v>
      </c>
      <c r="AZ1" s="51" t="s">
        <v>871</v>
      </c>
      <c r="BA1" s="51" t="s">
        <v>872</v>
      </c>
    </row>
    <row r="2" spans="1:53" ht="12.75">
      <c r="A2" s="8" t="s">
        <v>455</v>
      </c>
      <c r="B2" s="8" t="s">
        <v>456</v>
      </c>
      <c r="C2" s="8" t="s">
        <v>457</v>
      </c>
      <c r="D2" s="8" t="s">
        <v>458</v>
      </c>
      <c r="E2" s="8" t="s">
        <v>459</v>
      </c>
      <c r="F2" s="8" t="s">
        <v>460</v>
      </c>
      <c r="G2" s="8" t="s">
        <v>461</v>
      </c>
      <c r="H2" s="8" t="s">
        <v>864</v>
      </c>
      <c r="I2" s="8" t="s">
        <v>24</v>
      </c>
      <c r="L2" s="51" t="s">
        <v>455</v>
      </c>
      <c r="M2" s="51" t="s">
        <v>508</v>
      </c>
      <c r="N2" s="51" t="s">
        <v>457</v>
      </c>
      <c r="O2" s="51" t="s">
        <v>509</v>
      </c>
      <c r="P2" s="51" t="s">
        <v>510</v>
      </c>
      <c r="Q2" s="51" t="s">
        <v>511</v>
      </c>
      <c r="R2" s="51" t="s">
        <v>512</v>
      </c>
      <c r="S2" s="51" t="s">
        <v>513</v>
      </c>
      <c r="T2" s="51" t="s">
        <v>826</v>
      </c>
      <c r="V2" s="51" t="s">
        <v>455</v>
      </c>
      <c r="W2" s="51" t="s">
        <v>508</v>
      </c>
      <c r="X2" s="51" t="s">
        <v>457</v>
      </c>
      <c r="Y2" s="51" t="s">
        <v>591</v>
      </c>
      <c r="Z2" s="51" t="s">
        <v>510</v>
      </c>
      <c r="AA2" s="51" t="s">
        <v>511</v>
      </c>
      <c r="AB2" s="51" t="s">
        <v>592</v>
      </c>
      <c r="AC2" s="51" t="s">
        <v>512</v>
      </c>
      <c r="AD2" s="51" t="s">
        <v>513</v>
      </c>
      <c r="AE2" s="51" t="s">
        <v>514</v>
      </c>
      <c r="AF2" s="51" t="s">
        <v>593</v>
      </c>
      <c r="AH2" s="51" t="s">
        <v>624</v>
      </c>
      <c r="AI2" s="51" t="s">
        <v>612</v>
      </c>
      <c r="AK2" s="51" t="s">
        <v>619</v>
      </c>
      <c r="AL2" s="51" t="s">
        <v>620</v>
      </c>
      <c r="AN2" s="15" t="s">
        <v>8</v>
      </c>
      <c r="AO2" s="15" t="s">
        <v>623</v>
      </c>
      <c r="AP2" s="15"/>
      <c r="AS2" t="s">
        <v>526</v>
      </c>
      <c r="AT2" t="b">
        <f>IF(N4,L4)</f>
        <v>0</v>
      </c>
      <c r="AU2">
        <f>MATCH("*",AT2:AT77,0)</f>
        <v>71</v>
      </c>
      <c r="AV2" t="str">
        <f ca="1">IF(ISNA(AU2),"^",IF(AU2&gt;78,"^",OFFSET(AT$1,AU2,0)))</f>
        <v>Touch attack</v>
      </c>
      <c r="AY2" t="s">
        <v>522</v>
      </c>
      <c r="AZ2" t="s">
        <v>842</v>
      </c>
      <c r="BA2" t="s">
        <v>841</v>
      </c>
    </row>
    <row r="3" spans="1:53" ht="12.75">
      <c r="A3" t="s">
        <v>462</v>
      </c>
      <c r="B3" t="s">
        <v>463</v>
      </c>
      <c r="C3" t="b">
        <f>Feats!H53&gt;0</f>
        <v>0</v>
      </c>
      <c r="D3">
        <v>6</v>
      </c>
      <c r="E3">
        <v>1</v>
      </c>
      <c r="F3">
        <v>-6</v>
      </c>
      <c r="G3">
        <v>35</v>
      </c>
      <c r="H3" t="b">
        <f>OR(B3="Heavy",B3="Medium")</f>
        <v>1</v>
      </c>
      <c r="I3">
        <v>35</v>
      </c>
      <c r="L3" t="s">
        <v>476</v>
      </c>
      <c r="M3" t="s">
        <v>476</v>
      </c>
      <c r="N3" t="b">
        <v>1</v>
      </c>
      <c r="O3" t="s">
        <v>476</v>
      </c>
      <c r="P3" t="s">
        <v>476</v>
      </c>
      <c r="Q3" t="s">
        <v>476</v>
      </c>
      <c r="R3" t="s">
        <v>476</v>
      </c>
      <c r="S3" t="s">
        <v>476</v>
      </c>
      <c r="T3" t="s">
        <v>476</v>
      </c>
      <c r="V3" t="s">
        <v>476</v>
      </c>
      <c r="W3" t="s">
        <v>476</v>
      </c>
      <c r="X3" t="b">
        <v>1</v>
      </c>
      <c r="Y3" t="s">
        <v>476</v>
      </c>
      <c r="Z3" t="s">
        <v>476</v>
      </c>
      <c r="AA3" t="s">
        <v>476</v>
      </c>
      <c r="AB3">
        <v>0</v>
      </c>
      <c r="AC3" t="s">
        <v>476</v>
      </c>
      <c r="AD3" t="s">
        <v>476</v>
      </c>
      <c r="AE3" t="s">
        <v>476</v>
      </c>
      <c r="AF3" t="s">
        <v>476</v>
      </c>
      <c r="AH3" t="s">
        <v>533</v>
      </c>
      <c r="AI3" t="s">
        <v>613</v>
      </c>
      <c r="AK3">
        <v>1</v>
      </c>
      <c r="AL3" t="s">
        <v>488</v>
      </c>
      <c r="AN3" s="53">
        <v>0</v>
      </c>
      <c r="AO3" s="53">
        <v>0</v>
      </c>
      <c r="AS3" t="s">
        <v>546</v>
      </c>
      <c r="AT3" t="b">
        <f>IF(N5,L5)</f>
        <v>0</v>
      </c>
      <c r="AU3">
        <f ca="1">MATCH("*",OFFSET(AT$2,AU2,0):AT$77,0)+AU2</f>
        <v>74</v>
      </c>
      <c r="AV3" t="str">
        <f aca="true" ca="1" t="shared" si="0" ref="AV3:AV66">IF(ISNA(AU3),"^",IF(AU3&gt;78,"^",OFFSET(AT$1,AU3,0)))</f>
        <v>Unarmed strike</v>
      </c>
      <c r="AY3" t="s">
        <v>526</v>
      </c>
      <c r="AZ3" t="s">
        <v>519</v>
      </c>
      <c r="BA3" t="s">
        <v>594</v>
      </c>
    </row>
    <row r="4" spans="1:53" ht="12.75">
      <c r="A4" t="s">
        <v>464</v>
      </c>
      <c r="B4" t="s">
        <v>81</v>
      </c>
      <c r="C4" t="b">
        <f>Feats!H54&gt;0</f>
        <v>0</v>
      </c>
      <c r="D4">
        <v>5</v>
      </c>
      <c r="E4">
        <v>3</v>
      </c>
      <c r="F4">
        <v>-4</v>
      </c>
      <c r="G4">
        <v>25</v>
      </c>
      <c r="H4" t="b">
        <f aca="true" t="shared" si="1" ref="H4:H14">OR(B4="Heavy",B4="Medium")</f>
        <v>1</v>
      </c>
      <c r="I4">
        <v>30</v>
      </c>
      <c r="L4" t="s">
        <v>841</v>
      </c>
      <c r="M4" t="s">
        <v>515</v>
      </c>
      <c r="N4" t="b">
        <f>AND(COUNTIF(Feats!A$164:A$181,L4)&gt;0,Str&gt;=13)</f>
        <v>0</v>
      </c>
      <c r="O4" t="s">
        <v>516</v>
      </c>
      <c r="P4" t="s">
        <v>495</v>
      </c>
      <c r="Q4" t="s">
        <v>517</v>
      </c>
      <c r="R4" t="s">
        <v>518</v>
      </c>
      <c r="S4">
        <v>6</v>
      </c>
      <c r="V4" t="s">
        <v>594</v>
      </c>
      <c r="W4" t="s">
        <v>515</v>
      </c>
      <c r="X4" t="b">
        <f>COUNTIF(Feats!$A$164:$A$181,V4)&gt;0</f>
        <v>0</v>
      </c>
      <c r="Y4" t="s">
        <v>595</v>
      </c>
      <c r="Z4" t="s">
        <v>487</v>
      </c>
      <c r="AA4" t="s">
        <v>524</v>
      </c>
      <c r="AB4">
        <v>10</v>
      </c>
      <c r="AC4" t="s">
        <v>525</v>
      </c>
      <c r="AD4">
        <v>2</v>
      </c>
      <c r="AE4" t="s">
        <v>573</v>
      </c>
      <c r="AH4" t="s">
        <v>517</v>
      </c>
      <c r="AI4" t="s">
        <v>614</v>
      </c>
      <c r="AK4">
        <v>2</v>
      </c>
      <c r="AL4" t="s">
        <v>488</v>
      </c>
      <c r="AN4" s="53">
        <v>1</v>
      </c>
      <c r="AO4" s="53">
        <v>10</v>
      </c>
      <c r="AP4" s="53"/>
      <c r="AQ4">
        <f>IF(Str&gt;14,TRUNC((Str-10)/5),0)</f>
        <v>0</v>
      </c>
      <c r="AS4" t="s">
        <v>554</v>
      </c>
      <c r="AT4" t="b">
        <f>IF(N6,L6)</f>
        <v>0</v>
      </c>
      <c r="AU4" t="e">
        <f ca="1">MATCH("*",OFFSET(AT$2,AU3,0):AT$77,0)+AU3</f>
        <v>#N/A</v>
      </c>
      <c r="AV4" t="str">
        <f ca="1" t="shared" si="0"/>
        <v>^</v>
      </c>
      <c r="AY4" t="s">
        <v>599</v>
      </c>
      <c r="AZ4" t="s">
        <v>844</v>
      </c>
      <c r="BA4" t="s">
        <v>529</v>
      </c>
    </row>
    <row r="5" spans="1:53" ht="12.75">
      <c r="A5" t="s">
        <v>465</v>
      </c>
      <c r="B5" t="s">
        <v>466</v>
      </c>
      <c r="C5" t="b">
        <f>Feats!H55&gt;0</f>
        <v>0</v>
      </c>
      <c r="D5">
        <v>4</v>
      </c>
      <c r="E5">
        <v>4</v>
      </c>
      <c r="F5">
        <v>-2</v>
      </c>
      <c r="G5">
        <v>20</v>
      </c>
      <c r="H5" t="b">
        <f t="shared" si="1"/>
        <v>0</v>
      </c>
      <c r="I5">
        <v>25</v>
      </c>
      <c r="L5" t="s">
        <v>842</v>
      </c>
      <c r="M5" t="s">
        <v>520</v>
      </c>
      <c r="N5" t="b">
        <f>OR(Feats!$H$114="All",COUNTIF(Feats!C$164:C$181,L5))</f>
        <v>0</v>
      </c>
      <c r="O5" t="s">
        <v>530</v>
      </c>
      <c r="P5" t="s">
        <v>495</v>
      </c>
      <c r="Q5" t="s">
        <v>517</v>
      </c>
      <c r="R5" t="s">
        <v>518</v>
      </c>
      <c r="S5">
        <v>6</v>
      </c>
      <c r="V5" t="s">
        <v>522</v>
      </c>
      <c r="W5" t="s">
        <v>523</v>
      </c>
      <c r="X5" t="b">
        <f>N7</f>
        <v>0</v>
      </c>
      <c r="Y5" t="s">
        <v>595</v>
      </c>
      <c r="Z5" t="s">
        <v>488</v>
      </c>
      <c r="AA5" t="s">
        <v>524</v>
      </c>
      <c r="AB5">
        <v>10</v>
      </c>
      <c r="AC5" t="s">
        <v>525</v>
      </c>
      <c r="AD5">
        <v>3</v>
      </c>
      <c r="AH5" t="s">
        <v>524</v>
      </c>
      <c r="AI5" t="s">
        <v>517</v>
      </c>
      <c r="AK5">
        <v>3</v>
      </c>
      <c r="AL5" t="s">
        <v>488</v>
      </c>
      <c r="AN5" s="53">
        <v>2</v>
      </c>
      <c r="AO5" s="53">
        <v>20</v>
      </c>
      <c r="AP5" s="53"/>
      <c r="AQ5">
        <f>Str-5*AQ4</f>
        <v>0</v>
      </c>
      <c r="AS5" t="s">
        <v>555</v>
      </c>
      <c r="AT5" t="b">
        <f>IF(X4,V4)</f>
        <v>0</v>
      </c>
      <c r="AU5" t="e">
        <f ca="1">MATCH("*",OFFSET(AT$2,AU4,0):AT$77,0)+AU4</f>
        <v>#N/A</v>
      </c>
      <c r="AV5" t="str">
        <f ca="1" t="shared" si="0"/>
        <v>^</v>
      </c>
      <c r="AY5" t="s">
        <v>535</v>
      </c>
      <c r="AZ5" t="s">
        <v>532</v>
      </c>
      <c r="BA5" t="s">
        <v>600</v>
      </c>
    </row>
    <row r="6" spans="1:53" ht="12.75">
      <c r="A6" t="s">
        <v>467</v>
      </c>
      <c r="B6" t="s">
        <v>81</v>
      </c>
      <c r="C6" t="b">
        <f>Feats!H54&gt;0</f>
        <v>0</v>
      </c>
      <c r="D6">
        <v>5</v>
      </c>
      <c r="E6">
        <v>2</v>
      </c>
      <c r="F6">
        <v>-5</v>
      </c>
      <c r="G6">
        <v>30</v>
      </c>
      <c r="H6" t="b">
        <f t="shared" si="1"/>
        <v>1</v>
      </c>
      <c r="I6">
        <v>40</v>
      </c>
      <c r="L6" t="s">
        <v>519</v>
      </c>
      <c r="M6" t="s">
        <v>520</v>
      </c>
      <c r="N6" t="b">
        <f>OR(Feats!$H$114="All",COUNTIF(Feats!$C$164:$C$181,L6))</f>
        <v>0</v>
      </c>
      <c r="O6" t="s">
        <v>516</v>
      </c>
      <c r="P6" t="s">
        <v>489</v>
      </c>
      <c r="Q6" t="s">
        <v>521</v>
      </c>
      <c r="R6" t="s">
        <v>518</v>
      </c>
      <c r="S6">
        <v>6</v>
      </c>
      <c r="V6" t="s">
        <v>596</v>
      </c>
      <c r="W6" t="s">
        <v>520</v>
      </c>
      <c r="X6" t="b">
        <f>X15</f>
        <v>0</v>
      </c>
      <c r="Y6" t="s">
        <v>597</v>
      </c>
      <c r="Z6" t="s">
        <v>489</v>
      </c>
      <c r="AA6" t="s">
        <v>521</v>
      </c>
      <c r="AB6">
        <v>110</v>
      </c>
      <c r="AC6" t="s">
        <v>551</v>
      </c>
      <c r="AD6">
        <v>3</v>
      </c>
      <c r="AF6">
        <f>3/20</f>
        <v>0.15</v>
      </c>
      <c r="AH6" t="s">
        <v>521</v>
      </c>
      <c r="AI6" t="s">
        <v>615</v>
      </c>
      <c r="AK6">
        <v>4</v>
      </c>
      <c r="AL6" t="s">
        <v>489</v>
      </c>
      <c r="AN6" s="53">
        <v>3</v>
      </c>
      <c r="AO6" s="53">
        <v>30</v>
      </c>
      <c r="AP6" s="53"/>
      <c r="AS6" t="s">
        <v>557</v>
      </c>
      <c r="AT6" t="b">
        <f>IF(N7,L7)</f>
        <v>0</v>
      </c>
      <c r="AU6" t="e">
        <f ca="1">MATCH("*",OFFSET(AT$2,AU5,0):AT$77,0)+AU5</f>
        <v>#N/A</v>
      </c>
      <c r="AV6" t="str">
        <f ca="1" t="shared" si="0"/>
        <v>^</v>
      </c>
      <c r="AY6" t="s">
        <v>601</v>
      </c>
      <c r="AZ6" t="s">
        <v>534</v>
      </c>
      <c r="BA6" t="s">
        <v>554</v>
      </c>
    </row>
    <row r="7" spans="1:53" ht="12.75">
      <c r="A7" t="s">
        <v>468</v>
      </c>
      <c r="B7" t="s">
        <v>463</v>
      </c>
      <c r="C7" t="b">
        <f>Feats!H53&gt;0</f>
        <v>0</v>
      </c>
      <c r="D7">
        <v>8</v>
      </c>
      <c r="E7">
        <v>1</v>
      </c>
      <c r="F7">
        <v>-6</v>
      </c>
      <c r="G7">
        <v>35</v>
      </c>
      <c r="H7" t="b">
        <f t="shared" si="1"/>
        <v>1</v>
      </c>
      <c r="I7">
        <v>50</v>
      </c>
      <c r="L7" t="s">
        <v>522</v>
      </c>
      <c r="M7" t="s">
        <v>523</v>
      </c>
      <c r="N7" t="b">
        <f>OR(Feats!$H$138&gt;0,Begin!$I$83=L7,SUM(Classes!C9,Classes!C12,Classes!C18)&gt;0)</f>
        <v>0</v>
      </c>
      <c r="O7" t="s">
        <v>516</v>
      </c>
      <c r="P7" t="s">
        <v>488</v>
      </c>
      <c r="Q7" t="s">
        <v>524</v>
      </c>
      <c r="R7" t="s">
        <v>525</v>
      </c>
      <c r="S7">
        <v>3</v>
      </c>
      <c r="V7" t="s">
        <v>598</v>
      </c>
      <c r="W7" t="s">
        <v>520</v>
      </c>
      <c r="X7" t="b">
        <f>X20</f>
        <v>0</v>
      </c>
      <c r="Y7" t="s">
        <v>597</v>
      </c>
      <c r="Z7" t="s">
        <v>488</v>
      </c>
      <c r="AA7" t="s">
        <v>521</v>
      </c>
      <c r="AB7">
        <v>70</v>
      </c>
      <c r="AC7" t="s">
        <v>551</v>
      </c>
      <c r="AD7">
        <v>2</v>
      </c>
      <c r="AF7">
        <f>3/20</f>
        <v>0.15</v>
      </c>
      <c r="AH7" t="s">
        <v>539</v>
      </c>
      <c r="AI7" t="s">
        <v>616</v>
      </c>
      <c r="AK7">
        <v>5</v>
      </c>
      <c r="AL7" t="s">
        <v>489</v>
      </c>
      <c r="AN7" s="53">
        <v>4</v>
      </c>
      <c r="AO7" s="53">
        <v>40</v>
      </c>
      <c r="AP7" s="53"/>
      <c r="AS7" t="s">
        <v>558</v>
      </c>
      <c r="AT7" t="b">
        <f>IF(X6,V6)</f>
        <v>0</v>
      </c>
      <c r="AU7" t="e">
        <f ca="1">MATCH("*",OFFSET(AT$2,AU6,0):AT$77,0)+AU6</f>
        <v>#N/A</v>
      </c>
      <c r="AV7" t="str">
        <f ca="1" t="shared" si="0"/>
        <v>^</v>
      </c>
      <c r="AY7" t="s">
        <v>548</v>
      </c>
      <c r="AZ7" t="s">
        <v>537</v>
      </c>
      <c r="BA7" t="s">
        <v>605</v>
      </c>
    </row>
    <row r="8" spans="1:53" ht="12.75">
      <c r="A8" t="s">
        <v>469</v>
      </c>
      <c r="B8" t="s">
        <v>463</v>
      </c>
      <c r="C8" t="b">
        <f>Feats!H53&gt;0</f>
        <v>0</v>
      </c>
      <c r="D8">
        <v>7</v>
      </c>
      <c r="E8">
        <v>0</v>
      </c>
      <c r="F8">
        <v>-7</v>
      </c>
      <c r="G8">
        <v>40</v>
      </c>
      <c r="H8" t="b">
        <f t="shared" si="1"/>
        <v>1</v>
      </c>
      <c r="I8">
        <v>50</v>
      </c>
      <c r="L8" t="s">
        <v>526</v>
      </c>
      <c r="M8" t="s">
        <v>523</v>
      </c>
      <c r="N8" t="b">
        <f>OR(Feats!$H$138&gt;0,Begin!$I$83=L8,SUM(Classes!C9,Classes!C12,Classes!C18)&gt;0)</f>
        <v>0</v>
      </c>
      <c r="O8" t="s">
        <v>527</v>
      </c>
      <c r="P8" t="s">
        <v>487</v>
      </c>
      <c r="Q8" t="s">
        <v>517</v>
      </c>
      <c r="R8" t="s">
        <v>528</v>
      </c>
      <c r="S8">
        <v>1</v>
      </c>
      <c r="V8" t="s">
        <v>526</v>
      </c>
      <c r="W8" t="s">
        <v>523</v>
      </c>
      <c r="X8" t="b">
        <f>N8</f>
        <v>0</v>
      </c>
      <c r="Y8" t="s">
        <v>595</v>
      </c>
      <c r="Z8" t="s">
        <v>487</v>
      </c>
      <c r="AA8" t="s">
        <v>517</v>
      </c>
      <c r="AB8">
        <v>10</v>
      </c>
      <c r="AC8" t="s">
        <v>528</v>
      </c>
      <c r="AD8">
        <v>1</v>
      </c>
      <c r="AH8" t="s">
        <v>550</v>
      </c>
      <c r="AI8" t="s">
        <v>617</v>
      </c>
      <c r="AK8">
        <v>6</v>
      </c>
      <c r="AL8" t="s">
        <v>489</v>
      </c>
      <c r="AN8" s="53">
        <v>5</v>
      </c>
      <c r="AO8" s="53">
        <v>50</v>
      </c>
      <c r="AP8" s="53"/>
      <c r="AS8" t="s">
        <v>559</v>
      </c>
      <c r="AT8" t="b">
        <f>IF(X7,V7)</f>
        <v>0</v>
      </c>
      <c r="AU8" t="e">
        <f ca="1">MATCH("*",OFFSET(AT$2,AU7,0):AT$77,0)+AU7</f>
        <v>#N/A</v>
      </c>
      <c r="AV8" t="str">
        <f ca="1" t="shared" si="0"/>
        <v>^</v>
      </c>
      <c r="AY8" t="s">
        <v>602</v>
      </c>
      <c r="AZ8" t="s">
        <v>541</v>
      </c>
      <c r="BA8" t="s">
        <v>565</v>
      </c>
    </row>
    <row r="9" spans="1:53" ht="12.75">
      <c r="A9" t="s">
        <v>145</v>
      </c>
      <c r="B9" t="s">
        <v>81</v>
      </c>
      <c r="C9" t="b">
        <f>Feats!H54&gt;0</f>
        <v>0</v>
      </c>
      <c r="D9">
        <v>3</v>
      </c>
      <c r="E9">
        <v>4</v>
      </c>
      <c r="F9">
        <v>-3</v>
      </c>
      <c r="G9">
        <v>20</v>
      </c>
      <c r="H9" t="b">
        <f t="shared" si="1"/>
        <v>1</v>
      </c>
      <c r="I9">
        <v>25</v>
      </c>
      <c r="L9" t="s">
        <v>529</v>
      </c>
      <c r="M9" t="s">
        <v>515</v>
      </c>
      <c r="N9" t="b">
        <f>COUNTIF(Feats!$A$164:$A$181,L9)&gt;0</f>
        <v>0</v>
      </c>
      <c r="O9" t="s">
        <v>531</v>
      </c>
      <c r="P9" t="s">
        <v>489</v>
      </c>
      <c r="Q9" t="s">
        <v>524</v>
      </c>
      <c r="R9" t="s">
        <v>525</v>
      </c>
      <c r="S9">
        <v>10</v>
      </c>
      <c r="T9" t="s">
        <v>529</v>
      </c>
      <c r="V9" t="s">
        <v>599</v>
      </c>
      <c r="W9" t="s">
        <v>523</v>
      </c>
      <c r="X9" t="b">
        <f>OR(Feats!$H$138&gt;0,Begin!$I$83=V9,Classes!C9&gt;0)</f>
        <v>0</v>
      </c>
      <c r="Y9" t="s">
        <v>595</v>
      </c>
      <c r="Z9" t="s">
        <v>487</v>
      </c>
      <c r="AA9" t="s">
        <v>524</v>
      </c>
      <c r="AB9">
        <v>20</v>
      </c>
      <c r="AC9" t="s">
        <v>551</v>
      </c>
      <c r="AD9">
        <v>0.5</v>
      </c>
      <c r="AK9">
        <v>7</v>
      </c>
      <c r="AL9" t="s">
        <v>489</v>
      </c>
      <c r="AN9" s="53">
        <v>6</v>
      </c>
      <c r="AO9" s="53">
        <v>60</v>
      </c>
      <c r="AP9" s="53"/>
      <c r="AS9" t="s">
        <v>560</v>
      </c>
      <c r="AT9" t="b">
        <f>IF(N8,L8)</f>
        <v>0</v>
      </c>
      <c r="AU9" t="e">
        <f ca="1">MATCH("*",OFFSET(AT$2,AU8,0):AT$77,0)+AU8</f>
        <v>#N/A</v>
      </c>
      <c r="AV9" t="str">
        <f ca="1" t="shared" si="0"/>
        <v>^</v>
      </c>
      <c r="AY9" t="s">
        <v>603</v>
      </c>
      <c r="AZ9" t="s">
        <v>542</v>
      </c>
      <c r="BA9" t="s">
        <v>566</v>
      </c>
    </row>
    <row r="10" spans="1:53" ht="12.75">
      <c r="A10" t="s">
        <v>470</v>
      </c>
      <c r="B10" t="s">
        <v>466</v>
      </c>
      <c r="C10" t="b">
        <f>Feats!H55&gt;0</f>
        <v>0</v>
      </c>
      <c r="D10">
        <v>2</v>
      </c>
      <c r="E10">
        <v>6</v>
      </c>
      <c r="F10">
        <v>0</v>
      </c>
      <c r="G10">
        <v>10</v>
      </c>
      <c r="H10" t="b">
        <f t="shared" si="1"/>
        <v>0</v>
      </c>
      <c r="I10">
        <v>15</v>
      </c>
      <c r="L10" t="s">
        <v>761</v>
      </c>
      <c r="M10" t="str">
        <f>IF(Race="Dwarf","martial","exotic")</f>
        <v>exotic</v>
      </c>
      <c r="N10" t="b">
        <f>IF(M10="Martial",OR(Feats!$H$114="All",COUNTIF(Feats!$C$164:$C$181,"Dw. urgrosh")),COUNTIF(Feats!A164:A181,"Dw. urgrosh")&gt;0)</f>
        <v>0</v>
      </c>
      <c r="O10" t="s">
        <v>531</v>
      </c>
      <c r="P10" t="s">
        <v>489</v>
      </c>
      <c r="Q10" t="s">
        <v>521</v>
      </c>
      <c r="R10" t="s">
        <v>518</v>
      </c>
      <c r="S10">
        <v>12</v>
      </c>
      <c r="T10" t="s">
        <v>762</v>
      </c>
      <c r="V10" t="s">
        <v>600</v>
      </c>
      <c r="W10" t="s">
        <v>515</v>
      </c>
      <c r="X10" t="b">
        <f>OR(COUNTIF(Feats!$A$164:$A$181,V10)&gt;0,Classes!C15&gt;0)</f>
        <v>0</v>
      </c>
      <c r="Y10" t="s">
        <v>597</v>
      </c>
      <c r="Z10" t="s">
        <v>487</v>
      </c>
      <c r="AA10" t="s">
        <v>517</v>
      </c>
      <c r="AB10">
        <v>30</v>
      </c>
      <c r="AC10" t="s">
        <v>551</v>
      </c>
      <c r="AD10">
        <v>2</v>
      </c>
      <c r="AF10">
        <f>1/10</f>
        <v>0.1</v>
      </c>
      <c r="AK10">
        <v>8</v>
      </c>
      <c r="AL10" t="s">
        <v>495</v>
      </c>
      <c r="AN10" s="53">
        <v>7</v>
      </c>
      <c r="AO10" s="53">
        <v>70</v>
      </c>
      <c r="AP10" s="53"/>
      <c r="AS10" t="s">
        <v>561</v>
      </c>
      <c r="AT10" t="b">
        <f>IF(X9,V9)</f>
        <v>0</v>
      </c>
      <c r="AU10" t="e">
        <f ca="1">MATCH("*",OFFSET(AT$2,AU9,0):AT$77,0)+AU9</f>
        <v>#N/A</v>
      </c>
      <c r="AV10" t="str">
        <f ca="1" t="shared" si="0"/>
        <v>^</v>
      </c>
      <c r="AY10" t="s">
        <v>558</v>
      </c>
      <c r="AZ10" t="s">
        <v>543</v>
      </c>
      <c r="BA10" t="s">
        <v>606</v>
      </c>
    </row>
    <row r="11" spans="1:53" ht="12.75">
      <c r="A11" t="s">
        <v>471</v>
      </c>
      <c r="B11" t="s">
        <v>466</v>
      </c>
      <c r="C11" t="b">
        <f>Feats!H55&gt;0</f>
        <v>0</v>
      </c>
      <c r="D11">
        <v>1</v>
      </c>
      <c r="E11">
        <v>8</v>
      </c>
      <c r="F11">
        <v>0</v>
      </c>
      <c r="G11">
        <v>5</v>
      </c>
      <c r="H11" t="b">
        <f t="shared" si="1"/>
        <v>0</v>
      </c>
      <c r="I11">
        <v>10</v>
      </c>
      <c r="L11" t="s">
        <v>762</v>
      </c>
      <c r="M11" t="str">
        <f>IF(Race="Dwarf","martial","exotic")</f>
        <v>exotic</v>
      </c>
      <c r="N11" t="b">
        <f>IF(M11="Martial",OR(Feats!$H$114="All",COUNTIF(Feats!$C$164:$C$181,"Dw. urgrosh")),COUNTIF(Feats!A164:A181,"Dw. urgrosh")&gt;0)</f>
        <v>0</v>
      </c>
      <c r="O11" t="s">
        <v>531</v>
      </c>
      <c r="P11" t="s">
        <v>488</v>
      </c>
      <c r="Q11" t="s">
        <v>521</v>
      </c>
      <c r="R11" t="s">
        <v>528</v>
      </c>
      <c r="S11">
        <v>12</v>
      </c>
      <c r="T11" t="s">
        <v>761</v>
      </c>
      <c r="V11" t="s">
        <v>601</v>
      </c>
      <c r="W11" t="s">
        <v>523</v>
      </c>
      <c r="X11" t="b">
        <f>OR(Feats!$H$138&gt;0,Begin!$I$83=V11,SUM(Classes!C12,Classes!C18)&gt;0)</f>
        <v>0</v>
      </c>
      <c r="Y11" t="s">
        <v>597</v>
      </c>
      <c r="Z11" t="s">
        <v>495</v>
      </c>
      <c r="AA11" t="s">
        <v>517</v>
      </c>
      <c r="AB11">
        <v>120</v>
      </c>
      <c r="AC11" t="s">
        <v>551</v>
      </c>
      <c r="AD11">
        <v>8</v>
      </c>
      <c r="AF11">
        <f>1/10</f>
        <v>0.1</v>
      </c>
      <c r="AK11">
        <v>9</v>
      </c>
      <c r="AL11" t="s">
        <v>495</v>
      </c>
      <c r="AN11" s="53">
        <v>8</v>
      </c>
      <c r="AO11" s="53">
        <v>80</v>
      </c>
      <c r="AP11" s="53"/>
      <c r="AS11" t="s">
        <v>565</v>
      </c>
      <c r="AT11" t="b">
        <f>IF(N9,L9)</f>
        <v>0</v>
      </c>
      <c r="AU11" t="e">
        <f ca="1">MATCH("*",OFFSET(AT$2,AU10,0):AT$77,0)+AU10</f>
        <v>#N/A</v>
      </c>
      <c r="AV11" t="str">
        <f ca="1" t="shared" si="0"/>
        <v>^</v>
      </c>
      <c r="AY11" t="s">
        <v>562</v>
      </c>
      <c r="AZ11" t="s">
        <v>544</v>
      </c>
      <c r="BA11" t="s">
        <v>607</v>
      </c>
    </row>
    <row r="12" spans="1:53" ht="12.75">
      <c r="A12" t="s">
        <v>472</v>
      </c>
      <c r="B12" t="s">
        <v>81</v>
      </c>
      <c r="C12" t="b">
        <f>Feats!H54&gt;0</f>
        <v>0</v>
      </c>
      <c r="D12">
        <v>4</v>
      </c>
      <c r="E12">
        <v>3</v>
      </c>
      <c r="F12">
        <v>-4</v>
      </c>
      <c r="G12">
        <v>25</v>
      </c>
      <c r="H12" t="b">
        <f t="shared" si="1"/>
        <v>1</v>
      </c>
      <c r="I12">
        <v>30</v>
      </c>
      <c r="L12" t="s">
        <v>843</v>
      </c>
      <c r="M12" t="str">
        <f>IF(Race="Dwarf","martial","exotic")</f>
        <v>exotic</v>
      </c>
      <c r="N12" t="b">
        <f>IF(M10="Martial",OR(Feats!$H$114="All",COUNTIF(Feats!$C$164:$C$181,L12)),AND(Str&gt;=13,COUNTIF(Feats!A$164:A$181,L12)&gt;0))</f>
        <v>0</v>
      </c>
      <c r="O12" t="s">
        <v>516</v>
      </c>
      <c r="P12" t="s">
        <v>495</v>
      </c>
      <c r="Q12" t="s">
        <v>521</v>
      </c>
      <c r="R12" t="s">
        <v>518</v>
      </c>
      <c r="S12">
        <v>8</v>
      </c>
      <c r="V12" t="s">
        <v>602</v>
      </c>
      <c r="W12" t="s">
        <v>523</v>
      </c>
      <c r="X12" t="b">
        <f>OR(Feats!$H$138&gt;0,Begin!$I$83=V12,Classes!C12&gt;0)</f>
        <v>0</v>
      </c>
      <c r="Y12" t="s">
        <v>595</v>
      </c>
      <c r="Z12" t="s">
        <v>488</v>
      </c>
      <c r="AA12" t="s">
        <v>524</v>
      </c>
      <c r="AB12">
        <v>30</v>
      </c>
      <c r="AC12" t="s">
        <v>551</v>
      </c>
      <c r="AD12">
        <v>2</v>
      </c>
      <c r="AK12">
        <v>10</v>
      </c>
      <c r="AL12" t="s">
        <v>495</v>
      </c>
      <c r="AN12" s="53">
        <v>9</v>
      </c>
      <c r="AO12" s="53">
        <v>90</v>
      </c>
      <c r="AP12" s="53"/>
      <c r="AS12" t="s">
        <v>567</v>
      </c>
      <c r="AT12" t="b">
        <f>IF(N10,"Dw. urgrosh")</f>
        <v>0</v>
      </c>
      <c r="AU12" t="e">
        <f ca="1">MATCH("*",OFFSET(AT$2,AU11,0):AT$77,0)+AU11</f>
        <v>#N/A</v>
      </c>
      <c r="AV12" t="str">
        <f ca="1" t="shared" si="0"/>
        <v>^</v>
      </c>
      <c r="AY12" t="s">
        <v>564</v>
      </c>
      <c r="AZ12" t="s">
        <v>545</v>
      </c>
      <c r="BA12" t="s">
        <v>571</v>
      </c>
    </row>
    <row r="13" spans="1:53" ht="12.75">
      <c r="A13" t="s">
        <v>473</v>
      </c>
      <c r="B13" t="s">
        <v>463</v>
      </c>
      <c r="C13" t="b">
        <f>Feats!H53&gt;0</f>
        <v>0</v>
      </c>
      <c r="D13">
        <v>6</v>
      </c>
      <c r="E13">
        <v>0</v>
      </c>
      <c r="F13">
        <v>-7</v>
      </c>
      <c r="G13">
        <v>40</v>
      </c>
      <c r="H13" t="b">
        <f t="shared" si="1"/>
        <v>1</v>
      </c>
      <c r="I13">
        <v>45</v>
      </c>
      <c r="L13" t="s">
        <v>844</v>
      </c>
      <c r="M13" t="s">
        <v>520</v>
      </c>
      <c r="N13" t="b">
        <f>OR(Feats!$H$114="All",COUNTIF(Feats!C$164:C$181,L13))</f>
        <v>0</v>
      </c>
      <c r="O13" t="s">
        <v>530</v>
      </c>
      <c r="P13" t="s">
        <v>495</v>
      </c>
      <c r="Q13" t="s">
        <v>521</v>
      </c>
      <c r="R13" t="s">
        <v>518</v>
      </c>
      <c r="S13">
        <v>8</v>
      </c>
      <c r="V13" t="s">
        <v>603</v>
      </c>
      <c r="W13" t="s">
        <v>523</v>
      </c>
      <c r="X13" t="b">
        <f>OR(Feats!$H$138&gt;0,Begin!$I$83=V13,SUM(Classes!C12,Classes!C18)&gt;0)</f>
        <v>0</v>
      </c>
      <c r="Y13" t="s">
        <v>597</v>
      </c>
      <c r="Z13" t="s">
        <v>489</v>
      </c>
      <c r="AA13" t="s">
        <v>517</v>
      </c>
      <c r="AB13">
        <v>80</v>
      </c>
      <c r="AC13" t="s">
        <v>551</v>
      </c>
      <c r="AD13">
        <v>4</v>
      </c>
      <c r="AF13">
        <f>1/10</f>
        <v>0.1</v>
      </c>
      <c r="AK13">
        <v>11</v>
      </c>
      <c r="AL13" t="s">
        <v>495</v>
      </c>
      <c r="AN13" s="53">
        <v>10</v>
      </c>
      <c r="AO13" s="53">
        <v>100</v>
      </c>
      <c r="AP13" s="53"/>
      <c r="AS13" t="s">
        <v>570</v>
      </c>
      <c r="AT13" t="b">
        <f aca="true" t="shared" si="2" ref="AT13:AT18">IF(N12,L12)</f>
        <v>0</v>
      </c>
      <c r="AU13" t="e">
        <f ca="1">MATCH("*",OFFSET(AT$2,AU12,0):AT$77,0)+AU12</f>
        <v>#N/A</v>
      </c>
      <c r="AV13" t="str">
        <f ca="1" t="shared" si="0"/>
        <v>^</v>
      </c>
      <c r="AY13" t="s">
        <v>567</v>
      </c>
      <c r="AZ13" t="s">
        <v>546</v>
      </c>
      <c r="BA13" t="s">
        <v>609</v>
      </c>
    </row>
    <row r="14" spans="1:53" ht="12.75">
      <c r="A14" t="s">
        <v>474</v>
      </c>
      <c r="B14" t="s">
        <v>466</v>
      </c>
      <c r="C14" t="b">
        <f>Feats!H55&gt;0</f>
        <v>0</v>
      </c>
      <c r="D14">
        <v>3</v>
      </c>
      <c r="E14">
        <v>5</v>
      </c>
      <c r="F14">
        <v>-1</v>
      </c>
      <c r="G14">
        <v>15</v>
      </c>
      <c r="H14" t="b">
        <f t="shared" si="1"/>
        <v>0</v>
      </c>
      <c r="I14">
        <v>20</v>
      </c>
      <c r="L14" t="s">
        <v>532</v>
      </c>
      <c r="M14" t="s">
        <v>520</v>
      </c>
      <c r="N14" t="b">
        <f>OR(Feats!$H$114="All",COUNTIF(Feats!C$164:C$181,L14))</f>
        <v>0</v>
      </c>
      <c r="O14" t="s">
        <v>530</v>
      </c>
      <c r="P14" t="s">
        <v>493</v>
      </c>
      <c r="Q14" t="s">
        <v>533</v>
      </c>
      <c r="R14" t="s">
        <v>518</v>
      </c>
      <c r="S14">
        <v>8</v>
      </c>
      <c r="V14" t="s">
        <v>557</v>
      </c>
      <c r="W14" t="s">
        <v>520</v>
      </c>
      <c r="X14" t="b">
        <f>N34</f>
        <v>0</v>
      </c>
      <c r="Y14" t="s">
        <v>595</v>
      </c>
      <c r="Z14" t="s">
        <v>487</v>
      </c>
      <c r="AA14" t="s">
        <v>524</v>
      </c>
      <c r="AB14">
        <v>20</v>
      </c>
      <c r="AC14" t="s">
        <v>525</v>
      </c>
      <c r="AD14">
        <v>2</v>
      </c>
      <c r="AK14">
        <v>12</v>
      </c>
      <c r="AL14" t="s">
        <v>490</v>
      </c>
      <c r="AN14" s="53">
        <v>11</v>
      </c>
      <c r="AO14" s="53">
        <v>115</v>
      </c>
      <c r="AP14" s="53"/>
      <c r="AS14" t="s">
        <v>571</v>
      </c>
      <c r="AT14" t="b">
        <f t="shared" si="2"/>
        <v>0</v>
      </c>
      <c r="AU14" t="e">
        <f ca="1">MATCH("*",OFFSET(AT$2,AU13,0):AT$77,0)+AU13</f>
        <v>#N/A</v>
      </c>
      <c r="AV14" t="str">
        <f ca="1" t="shared" si="0"/>
        <v>^</v>
      </c>
      <c r="AY14" t="s">
        <v>568</v>
      </c>
      <c r="AZ14" t="s">
        <v>547</v>
      </c>
      <c r="BA14" t="s">
        <v>578</v>
      </c>
    </row>
    <row r="15" spans="12:53" ht="12.75">
      <c r="L15" t="s">
        <v>534</v>
      </c>
      <c r="M15" t="s">
        <v>520</v>
      </c>
      <c r="N15" t="b">
        <f>OR(Feats!$H$114="All",COUNTIF(Feats!C$164:C$181,L15))</f>
        <v>0</v>
      </c>
      <c r="O15" t="s">
        <v>516</v>
      </c>
      <c r="P15" t="s">
        <v>489</v>
      </c>
      <c r="Q15" t="s">
        <v>524</v>
      </c>
      <c r="R15" t="s">
        <v>525</v>
      </c>
      <c r="S15">
        <v>5</v>
      </c>
      <c r="V15" t="s">
        <v>604</v>
      </c>
      <c r="W15" t="s">
        <v>520</v>
      </c>
      <c r="X15" t="b">
        <f>OR(Feats!$H$114="All",COUNTIF(Feats!$C$164:$C$181,V15),Race="Elf")</f>
        <v>0</v>
      </c>
      <c r="Y15" t="s">
        <v>597</v>
      </c>
      <c r="Z15" t="s">
        <v>489</v>
      </c>
      <c r="AA15" t="s">
        <v>521</v>
      </c>
      <c r="AB15">
        <v>100</v>
      </c>
      <c r="AC15" t="s">
        <v>551</v>
      </c>
      <c r="AD15">
        <v>3</v>
      </c>
      <c r="AF15">
        <f>3/20</f>
        <v>0.15</v>
      </c>
      <c r="AK15">
        <v>13</v>
      </c>
      <c r="AL15" t="s">
        <v>490</v>
      </c>
      <c r="AN15" s="53">
        <v>12</v>
      </c>
      <c r="AO15" s="53">
        <v>130</v>
      </c>
      <c r="AP15" s="53"/>
      <c r="AS15" t="s">
        <v>572</v>
      </c>
      <c r="AT15" t="b">
        <f t="shared" si="2"/>
        <v>0</v>
      </c>
      <c r="AU15" t="e">
        <f ca="1">MATCH("*",OFFSET(AT$2,AU14,0):AT$77,0)+AU14</f>
        <v>#N/A</v>
      </c>
      <c r="AV15" t="str">
        <f ca="1" t="shared" si="0"/>
        <v>^</v>
      </c>
      <c r="AY15" t="s">
        <v>577</v>
      </c>
      <c r="AZ15" t="s">
        <v>549</v>
      </c>
      <c r="BA15" t="s">
        <v>582</v>
      </c>
    </row>
    <row r="16" spans="1:53" ht="12.75">
      <c r="A16" s="248" t="s">
        <v>390</v>
      </c>
      <c r="B16" s="248"/>
      <c r="C16" s="248"/>
      <c r="D16" s="248"/>
      <c r="E16" s="248"/>
      <c r="F16" s="248"/>
      <c r="G16" s="248"/>
      <c r="L16" t="s">
        <v>535</v>
      </c>
      <c r="M16" t="s">
        <v>523</v>
      </c>
      <c r="N16" t="b">
        <f>OR(Feats!$H$138&gt;0,Begin!$I$83=L16)</f>
        <v>0</v>
      </c>
      <c r="O16" t="s">
        <v>536</v>
      </c>
      <c r="P16" t="s">
        <v>486</v>
      </c>
      <c r="Q16" t="s">
        <v>524</v>
      </c>
      <c r="R16" t="s">
        <v>525</v>
      </c>
      <c r="S16">
        <v>1</v>
      </c>
      <c r="V16" t="s">
        <v>605</v>
      </c>
      <c r="W16" t="s">
        <v>515</v>
      </c>
      <c r="X16" t="b">
        <f>COUNTIF(Feats!$A$164:$A$181,V16)&gt;0</f>
        <v>0</v>
      </c>
      <c r="Y16" t="s">
        <v>595</v>
      </c>
      <c r="Z16" t="s">
        <v>476</v>
      </c>
      <c r="AB16">
        <v>10</v>
      </c>
      <c r="AC16" t="s">
        <v>476</v>
      </c>
      <c r="AD16">
        <v>6</v>
      </c>
      <c r="AK16">
        <v>14</v>
      </c>
      <c r="AL16" t="s">
        <v>490</v>
      </c>
      <c r="AN16" s="53">
        <v>13</v>
      </c>
      <c r="AO16" s="53">
        <v>150</v>
      </c>
      <c r="AP16" s="53"/>
      <c r="AS16" t="s">
        <v>576</v>
      </c>
      <c r="AT16" t="b">
        <f t="shared" si="2"/>
        <v>0</v>
      </c>
      <c r="AU16" t="e">
        <f ca="1">MATCH("*",OFFSET(AT$2,AU15,0):AT$77,0)+AU15</f>
        <v>#N/A</v>
      </c>
      <c r="AV16" t="str">
        <f ca="1" t="shared" si="0"/>
        <v>^</v>
      </c>
      <c r="AY16" t="s">
        <v>579</v>
      </c>
      <c r="AZ16" t="s">
        <v>552</v>
      </c>
      <c r="BA16" t="s">
        <v>586</v>
      </c>
    </row>
    <row r="17" spans="1:53" ht="12.75">
      <c r="A17" s="8" t="s">
        <v>455</v>
      </c>
      <c r="B17" s="8" t="s">
        <v>457</v>
      </c>
      <c r="C17" s="8" t="s">
        <v>458</v>
      </c>
      <c r="D17" s="8" t="s">
        <v>459</v>
      </c>
      <c r="E17" s="8" t="s">
        <v>460</v>
      </c>
      <c r="F17" s="8" t="s">
        <v>461</v>
      </c>
      <c r="G17" s="8" t="s">
        <v>24</v>
      </c>
      <c r="L17" t="s">
        <v>537</v>
      </c>
      <c r="M17" t="s">
        <v>520</v>
      </c>
      <c r="N17" t="b">
        <f>OR(Feats!$H$114="All",COUNTIF(Feats!C$164:C$181,L17))</f>
        <v>0</v>
      </c>
      <c r="O17" t="s">
        <v>530</v>
      </c>
      <c r="P17" t="s">
        <v>495</v>
      </c>
      <c r="Q17" t="s">
        <v>521</v>
      </c>
      <c r="R17" t="s">
        <v>518</v>
      </c>
      <c r="S17">
        <v>10</v>
      </c>
      <c r="T17" t="s">
        <v>538</v>
      </c>
      <c r="V17" t="s">
        <v>606</v>
      </c>
      <c r="W17" t="s">
        <v>515</v>
      </c>
      <c r="X17" t="b">
        <f>COUNTIF(Feats!$A$164:$A$181,V17)&gt;0</f>
        <v>0</v>
      </c>
      <c r="Y17" t="s">
        <v>597</v>
      </c>
      <c r="Z17" t="s">
        <v>495</v>
      </c>
      <c r="AA17" t="s">
        <v>517</v>
      </c>
      <c r="AB17">
        <v>120</v>
      </c>
      <c r="AC17" t="s">
        <v>551</v>
      </c>
      <c r="AD17">
        <v>12</v>
      </c>
      <c r="AK17">
        <v>15</v>
      </c>
      <c r="AL17" t="s">
        <v>490</v>
      </c>
      <c r="AN17" s="53">
        <v>14</v>
      </c>
      <c r="AO17" s="53">
        <v>175</v>
      </c>
      <c r="AP17" s="53"/>
      <c r="AS17" t="s">
        <v>578</v>
      </c>
      <c r="AT17" t="b">
        <f t="shared" si="2"/>
        <v>0</v>
      </c>
      <c r="AU17" t="e">
        <f ca="1">MATCH("*",OFFSET(AT$2,AU16,0):AT$77,0)+AU16</f>
        <v>#N/A</v>
      </c>
      <c r="AV17" t="str">
        <f ca="1" t="shared" si="0"/>
        <v>^</v>
      </c>
      <c r="AY17" t="s">
        <v>610</v>
      </c>
      <c r="AZ17" t="s">
        <v>553</v>
      </c>
      <c r="BA17" t="s">
        <v>589</v>
      </c>
    </row>
    <row r="18" spans="1:53" ht="12.75">
      <c r="A18" t="s">
        <v>475</v>
      </c>
      <c r="B18" t="b">
        <f>Feats!H135&gt;0</f>
        <v>0</v>
      </c>
      <c r="C18">
        <v>1</v>
      </c>
      <c r="D18" t="s">
        <v>476</v>
      </c>
      <c r="E18">
        <v>-1</v>
      </c>
      <c r="F18">
        <v>5</v>
      </c>
      <c r="G18">
        <v>5</v>
      </c>
      <c r="L18" t="s">
        <v>759</v>
      </c>
      <c r="M18" t="str">
        <f>IF(Race="Gnome","martial","exotic")</f>
        <v>exotic</v>
      </c>
      <c r="N18" t="b">
        <f>IF(M18="Martial",OR(Feats!$H$114="All",COUNTIF(Feats!$C$164:$C$181,"Gn. hooked hammer")),COUNTIF(Feats!A$164:A$181,"Gn. hooked hammer")&gt;0)</f>
        <v>0</v>
      </c>
      <c r="O18" t="s">
        <v>531</v>
      </c>
      <c r="P18" t="s">
        <v>489</v>
      </c>
      <c r="Q18" t="s">
        <v>521</v>
      </c>
      <c r="R18" t="s">
        <v>525</v>
      </c>
      <c r="S18">
        <v>6</v>
      </c>
      <c r="T18" t="s">
        <v>760</v>
      </c>
      <c r="V18" t="s">
        <v>607</v>
      </c>
      <c r="W18" t="s">
        <v>515</v>
      </c>
      <c r="X18" t="b">
        <f>COUNTIF(Feats!$A$164:$A$181,V18)&gt;0</f>
        <v>0</v>
      </c>
      <c r="Y18" t="s">
        <v>597</v>
      </c>
      <c r="Z18" t="s">
        <v>489</v>
      </c>
      <c r="AA18" t="s">
        <v>517</v>
      </c>
      <c r="AB18">
        <v>80</v>
      </c>
      <c r="AC18" t="s">
        <v>551</v>
      </c>
      <c r="AD18">
        <v>6</v>
      </c>
      <c r="AF18">
        <f>1/5</f>
        <v>0.2</v>
      </c>
      <c r="AK18">
        <v>16</v>
      </c>
      <c r="AL18" t="s">
        <v>496</v>
      </c>
      <c r="AN18" s="53"/>
      <c r="AO18" s="53"/>
      <c r="AP18" s="53"/>
      <c r="AQ18" s="53"/>
      <c r="AS18" t="s">
        <v>579</v>
      </c>
      <c r="AT18" t="b">
        <f t="shared" si="2"/>
        <v>0</v>
      </c>
      <c r="AU18" t="e">
        <f ca="1">MATCH("*",OFFSET(AT$2,AU17,0):AT$77,0)+AU17</f>
        <v>#N/A</v>
      </c>
      <c r="AV18" t="str">
        <f ca="1" t="shared" si="0"/>
        <v>^</v>
      </c>
      <c r="AY18" t="s">
        <v>580</v>
      </c>
      <c r="AZ18" t="s">
        <v>555</v>
      </c>
      <c r="BA18" t="str">
        <f>IF(Race&lt;&gt;"Dwarf","Dw. waraxe (one-handed)","*")</f>
        <v>Dw. waraxe (one-handed)</v>
      </c>
    </row>
    <row r="19" spans="1:53" ht="12.75">
      <c r="A19" t="s">
        <v>477</v>
      </c>
      <c r="B19" t="b">
        <f>Feats!H135&gt;0</f>
        <v>0</v>
      </c>
      <c r="C19">
        <v>2</v>
      </c>
      <c r="D19" t="s">
        <v>476</v>
      </c>
      <c r="E19">
        <v>-2</v>
      </c>
      <c r="F19">
        <v>15</v>
      </c>
      <c r="G19">
        <v>15</v>
      </c>
      <c r="L19" t="s">
        <v>760</v>
      </c>
      <c r="M19" t="str">
        <f>IF(Race="Gnome","martial","exotic")</f>
        <v>exotic</v>
      </c>
      <c r="N19" t="b">
        <f>IF(M19="Martial",OR(Feats!$H$114="All",COUNTIF(Feats!$C$164:$C$181,"Gn. hooked hammer")),COUNTIF(Feats!A$164:A$181,"Gn. hooked hammer")&gt;0)</f>
        <v>0</v>
      </c>
      <c r="O19" t="s">
        <v>531</v>
      </c>
      <c r="P19" t="s">
        <v>488</v>
      </c>
      <c r="Q19" t="s">
        <v>550</v>
      </c>
      <c r="R19" t="s">
        <v>551</v>
      </c>
      <c r="S19">
        <v>6</v>
      </c>
      <c r="T19" t="s">
        <v>759</v>
      </c>
      <c r="V19" t="s">
        <v>571</v>
      </c>
      <c r="W19" t="s">
        <v>515</v>
      </c>
      <c r="X19" t="b">
        <f>N48</f>
        <v>0</v>
      </c>
      <c r="Y19" t="s">
        <v>595</v>
      </c>
      <c r="Z19" t="s">
        <v>487</v>
      </c>
      <c r="AA19" t="s">
        <v>524</v>
      </c>
      <c r="AB19">
        <v>10</v>
      </c>
      <c r="AC19" t="s">
        <v>525</v>
      </c>
      <c r="AD19">
        <v>1</v>
      </c>
      <c r="AF19">
        <f>1/5</f>
        <v>0.2</v>
      </c>
      <c r="AK19">
        <v>17</v>
      </c>
      <c r="AL19" t="s">
        <v>496</v>
      </c>
      <c r="AN19" s="53"/>
      <c r="AO19" s="8" t="s">
        <v>466</v>
      </c>
      <c r="AP19" s="8" t="s">
        <v>81</v>
      </c>
      <c r="AQ19" s="8" t="s">
        <v>463</v>
      </c>
      <c r="AS19" t="s">
        <v>581</v>
      </c>
      <c r="AT19" t="b">
        <f>IF(N18,"Gn. hooked hammer")</f>
        <v>0</v>
      </c>
      <c r="AU19" t="e">
        <f ca="1">MATCH("*",OFFSET(AT$2,AU18,0):AT$77,0)+AU18</f>
        <v>#N/A</v>
      </c>
      <c r="AV19" t="str">
        <f ca="1" t="shared" si="0"/>
        <v>^</v>
      </c>
      <c r="AY19" t="s">
        <v>583</v>
      </c>
      <c r="AZ19" t="s">
        <v>556</v>
      </c>
      <c r="BA19" t="str">
        <f>IF(Race&lt;&gt;"Dwarf","Dw. urgrosh","*")</f>
        <v>Dw. urgrosh</v>
      </c>
    </row>
    <row r="20" spans="1:53" ht="12.75">
      <c r="A20" t="s">
        <v>478</v>
      </c>
      <c r="B20" t="b">
        <f>Feats!H135&gt;0</f>
        <v>0</v>
      </c>
      <c r="C20">
        <v>2</v>
      </c>
      <c r="D20" t="s">
        <v>476</v>
      </c>
      <c r="E20">
        <v>-2</v>
      </c>
      <c r="F20">
        <v>15</v>
      </c>
      <c r="G20">
        <v>10</v>
      </c>
      <c r="L20" t="s">
        <v>541</v>
      </c>
      <c r="M20" t="s">
        <v>520</v>
      </c>
      <c r="N20" t="b">
        <f>OR(Feats!$H$114="All",COUNTIF(Feats!C$164:C$181,L20))</f>
        <v>0</v>
      </c>
      <c r="O20" t="s">
        <v>530</v>
      </c>
      <c r="P20" t="s">
        <v>500</v>
      </c>
      <c r="Q20" t="s">
        <v>521</v>
      </c>
      <c r="R20" t="s">
        <v>518</v>
      </c>
      <c r="S20">
        <v>12</v>
      </c>
      <c r="V20" t="s">
        <v>608</v>
      </c>
      <c r="W20" t="s">
        <v>520</v>
      </c>
      <c r="X20" t="b">
        <f>OR(Feats!$H$114="All",COUNTIF(Feats!$C$164:$C$181,V20),SUM(Classes!C6,Classes!C15)&gt;0,Race="Elf")</f>
        <v>0</v>
      </c>
      <c r="Y20" t="s">
        <v>597</v>
      </c>
      <c r="Z20" t="s">
        <v>488</v>
      </c>
      <c r="AA20" t="s">
        <v>521</v>
      </c>
      <c r="AB20">
        <v>60</v>
      </c>
      <c r="AC20" t="s">
        <v>551</v>
      </c>
      <c r="AD20">
        <v>2</v>
      </c>
      <c r="AF20">
        <f>3/20</f>
        <v>0.15</v>
      </c>
      <c r="AK20">
        <v>18</v>
      </c>
      <c r="AL20" t="s">
        <v>496</v>
      </c>
      <c r="AN20" s="15" t="s">
        <v>622</v>
      </c>
      <c r="AO20" s="8">
        <f>TRUNC(AQ20/3)</f>
        <v>0</v>
      </c>
      <c r="AP20" s="8">
        <f>TRUNC(2/3*AQ20)</f>
        <v>0</v>
      </c>
      <c r="AQ20" s="8">
        <f>IF(ISERROR(AQ4),0,2^AQ4*LOOKUP(AQ5,AN3:AN17,AO3:AO17))</f>
        <v>0</v>
      </c>
      <c r="AS20" t="s">
        <v>582</v>
      </c>
      <c r="AT20" t="b">
        <f>IF(N20,L20)</f>
        <v>0</v>
      </c>
      <c r="AU20" t="e">
        <f ca="1">MATCH("*",OFFSET(AT$2,AU19,0):AT$77,0)+AU19</f>
        <v>#N/A</v>
      </c>
      <c r="AV20" t="str">
        <f ca="1" t="shared" si="0"/>
        <v>^</v>
      </c>
      <c r="AZ20" t="s">
        <v>557</v>
      </c>
      <c r="BA20" t="str">
        <f>IF(Race&lt;&gt;"Gnome","Gn. hooked hammer","*")</f>
        <v>Gn. hooked hammer</v>
      </c>
    </row>
    <row r="21" spans="1:52" ht="12.75">
      <c r="A21" t="s">
        <v>479</v>
      </c>
      <c r="B21" t="b">
        <f>Feats!H135&gt;0</f>
        <v>0</v>
      </c>
      <c r="C21">
        <v>1</v>
      </c>
      <c r="D21" t="s">
        <v>476</v>
      </c>
      <c r="E21">
        <v>-1</v>
      </c>
      <c r="F21">
        <v>5</v>
      </c>
      <c r="G21">
        <v>6</v>
      </c>
      <c r="L21" t="s">
        <v>542</v>
      </c>
      <c r="M21" t="s">
        <v>520</v>
      </c>
      <c r="N21" t="b">
        <f>OR(Feats!$H$114="All",COUNTIF(Feats!C$164:C$181,L21))</f>
        <v>0</v>
      </c>
      <c r="O21" t="s">
        <v>530</v>
      </c>
      <c r="P21" t="s">
        <v>495</v>
      </c>
      <c r="Q21" t="s">
        <v>524</v>
      </c>
      <c r="R21" t="s">
        <v>525</v>
      </c>
      <c r="S21">
        <v>8</v>
      </c>
      <c r="V21" t="s">
        <v>577</v>
      </c>
      <c r="W21" t="s">
        <v>523</v>
      </c>
      <c r="X21" t="b">
        <f>N53</f>
        <v>0</v>
      </c>
      <c r="Y21" t="s">
        <v>595</v>
      </c>
      <c r="Z21" t="s">
        <v>488</v>
      </c>
      <c r="AA21" t="s">
        <v>524</v>
      </c>
      <c r="AB21">
        <v>20</v>
      </c>
      <c r="AC21" t="s">
        <v>551</v>
      </c>
      <c r="AD21">
        <v>3</v>
      </c>
      <c r="AK21">
        <v>19</v>
      </c>
      <c r="AL21" t="s">
        <v>496</v>
      </c>
      <c r="AN21" s="53"/>
      <c r="AO21" s="53"/>
      <c r="AP21" s="53"/>
      <c r="AQ21" s="53"/>
      <c r="AS21" t="s">
        <v>583</v>
      </c>
      <c r="AT21" t="b">
        <f>IF(N21,L21)</f>
        <v>0</v>
      </c>
      <c r="AU21" t="e">
        <f ca="1">MATCH("*",OFFSET(AT$2,AU20,0):AT$77,0)+AU20</f>
        <v>#N/A</v>
      </c>
      <c r="AV21" t="str">
        <f ca="1" t="shared" si="0"/>
        <v>^</v>
      </c>
      <c r="AZ21" t="s">
        <v>559</v>
      </c>
    </row>
    <row r="22" spans="1:52" ht="12.75">
      <c r="A22" t="s">
        <v>480</v>
      </c>
      <c r="B22" t="b">
        <f>Feats!H135&gt;0</f>
        <v>0</v>
      </c>
      <c r="C22">
        <v>1</v>
      </c>
      <c r="D22" t="s">
        <v>476</v>
      </c>
      <c r="E22">
        <v>-1</v>
      </c>
      <c r="F22">
        <v>5</v>
      </c>
      <c r="G22">
        <v>5</v>
      </c>
      <c r="L22" t="s">
        <v>543</v>
      </c>
      <c r="M22" t="s">
        <v>520</v>
      </c>
      <c r="N22" t="b">
        <f>OR(Feats!$H$114="All",COUNTIF(Feats!C$164:C$181,L22))</f>
        <v>0</v>
      </c>
      <c r="O22" t="s">
        <v>530</v>
      </c>
      <c r="P22" t="s">
        <v>490</v>
      </c>
      <c r="Q22" t="s">
        <v>517</v>
      </c>
      <c r="R22" t="s">
        <v>518</v>
      </c>
      <c r="S22">
        <v>8</v>
      </c>
      <c r="V22" t="s">
        <v>609</v>
      </c>
      <c r="W22" t="s">
        <v>515</v>
      </c>
      <c r="X22" t="b">
        <f>OR(COUNTIF(Feats!$A$164:$A$181,V22)&gt;0,Classes!C12&gt;0)</f>
        <v>0</v>
      </c>
      <c r="Y22" t="s">
        <v>595</v>
      </c>
      <c r="Z22" t="s">
        <v>485</v>
      </c>
      <c r="AA22" t="s">
        <v>524</v>
      </c>
      <c r="AB22">
        <v>10</v>
      </c>
      <c r="AC22" t="s">
        <v>551</v>
      </c>
      <c r="AD22">
        <v>0.5</v>
      </c>
      <c r="AK22">
        <v>20</v>
      </c>
      <c r="AL22" t="s">
        <v>506</v>
      </c>
      <c r="AN22" s="53"/>
      <c r="AO22" s="53"/>
      <c r="AP22" s="53"/>
      <c r="AQ22" s="53"/>
      <c r="AS22" t="s">
        <v>584</v>
      </c>
      <c r="AT22" t="b">
        <f>IF(N22,L22)</f>
        <v>0</v>
      </c>
      <c r="AU22" t="e">
        <f ca="1">MATCH("*",OFFSET(AT$2,AU21,0):AT$77,0)+AU21</f>
        <v>#N/A</v>
      </c>
      <c r="AV22" t="str">
        <f ca="1" t="shared" si="0"/>
        <v>^</v>
      </c>
      <c r="AZ22" t="s">
        <v>560</v>
      </c>
    </row>
    <row r="23" spans="1:52" ht="12.75">
      <c r="A23" t="s">
        <v>481</v>
      </c>
      <c r="B23" t="b">
        <f>Feats!H150&gt;0</f>
        <v>0</v>
      </c>
      <c r="C23">
        <v>4</v>
      </c>
      <c r="D23">
        <v>2</v>
      </c>
      <c r="E23">
        <v>-10</v>
      </c>
      <c r="F23">
        <v>50</v>
      </c>
      <c r="G23">
        <v>45</v>
      </c>
      <c r="L23" t="s">
        <v>544</v>
      </c>
      <c r="M23" t="s">
        <v>520</v>
      </c>
      <c r="N23" t="b">
        <f>OR(Feats!$H$114="All",COUNTIF(Feats!C$164:C$181,L23))</f>
        <v>0</v>
      </c>
      <c r="O23" t="s">
        <v>530</v>
      </c>
      <c r="P23" t="s">
        <v>493</v>
      </c>
      <c r="Q23" t="s">
        <v>521</v>
      </c>
      <c r="R23" t="s">
        <v>518</v>
      </c>
      <c r="S23">
        <v>12</v>
      </c>
      <c r="T23" t="s">
        <v>538</v>
      </c>
      <c r="V23" t="s">
        <v>610</v>
      </c>
      <c r="W23" t="s">
        <v>523</v>
      </c>
      <c r="X23" t="b">
        <f>OR(Feats!$H$138&gt;0,Begin!$I$83=V23,SUM(Classes!C9,Classes!C12)&gt;0)</f>
        <v>0</v>
      </c>
      <c r="Y23" t="s">
        <v>595</v>
      </c>
      <c r="Z23" t="s">
        <v>487</v>
      </c>
      <c r="AA23" t="s">
        <v>524</v>
      </c>
      <c r="AB23">
        <v>50</v>
      </c>
      <c r="AC23" t="s">
        <v>525</v>
      </c>
      <c r="AD23">
        <v>0</v>
      </c>
      <c r="AF23">
        <f>5/10</f>
        <v>0.5</v>
      </c>
      <c r="AN23" s="53"/>
      <c r="AO23" s="53"/>
      <c r="AP23" s="53"/>
      <c r="AQ23" s="53"/>
      <c r="AS23" t="s">
        <v>637</v>
      </c>
      <c r="AT23" t="b">
        <f>IF(N23,L23)</f>
        <v>0</v>
      </c>
      <c r="AU23" t="e">
        <f ca="1">MATCH("*",OFFSET(AT$2,AU22,0):AT$77,0)+AU22</f>
        <v>#N/A</v>
      </c>
      <c r="AV23" t="str">
        <f ca="1" t="shared" si="0"/>
        <v>^</v>
      </c>
      <c r="AZ23" t="s">
        <v>561</v>
      </c>
    </row>
    <row r="24" spans="12:52" ht="12.75">
      <c r="L24" t="s">
        <v>545</v>
      </c>
      <c r="M24" t="s">
        <v>520</v>
      </c>
      <c r="N24" t="b">
        <f>OR(Feats!$H$114="All",COUNTIF(Feats!C$164:C$181,L24))</f>
        <v>0</v>
      </c>
      <c r="O24" t="s">
        <v>530</v>
      </c>
      <c r="P24" t="s">
        <v>495</v>
      </c>
      <c r="Q24" t="s">
        <v>521</v>
      </c>
      <c r="R24" t="s">
        <v>528</v>
      </c>
      <c r="S24">
        <v>12</v>
      </c>
      <c r="V24" t="s">
        <v>580</v>
      </c>
      <c r="W24" t="s">
        <v>523</v>
      </c>
      <c r="X24" t="b">
        <f>N56</f>
        <v>0</v>
      </c>
      <c r="Y24" t="s">
        <v>595</v>
      </c>
      <c r="Z24" t="s">
        <v>489</v>
      </c>
      <c r="AA24" t="s">
        <v>521</v>
      </c>
      <c r="AB24">
        <v>20</v>
      </c>
      <c r="AC24" t="s">
        <v>551</v>
      </c>
      <c r="AD24">
        <v>6</v>
      </c>
      <c r="AN24" s="53"/>
      <c r="AO24" s="53"/>
      <c r="AP24" s="53"/>
      <c r="AQ24" s="53"/>
      <c r="AS24" t="s">
        <v>587</v>
      </c>
      <c r="AT24" t="b">
        <f>IF(N24,L24)</f>
        <v>0</v>
      </c>
      <c r="AU24" t="e">
        <f ca="1">MATCH("*",OFFSET(AT$2,AU23,0):AT$77,0)+AU23</f>
        <v>#N/A</v>
      </c>
      <c r="AV24" t="str">
        <f ca="1" t="shared" si="0"/>
        <v>^</v>
      </c>
      <c r="AZ24" t="s">
        <v>604</v>
      </c>
    </row>
    <row r="25" spans="1:52" ht="12.75">
      <c r="A25" s="248" t="s">
        <v>482</v>
      </c>
      <c r="B25" s="248"/>
      <c r="C25" s="248"/>
      <c r="D25" s="248"/>
      <c r="E25" s="248"/>
      <c r="F25" s="248"/>
      <c r="G25" s="248"/>
      <c r="H25" s="248"/>
      <c r="I25" s="248"/>
      <c r="J25" s="248"/>
      <c r="L25" t="s">
        <v>546</v>
      </c>
      <c r="M25" t="s">
        <v>520</v>
      </c>
      <c r="N25" t="b">
        <f>OR(Feats!$H$114="All",COUNTIF(Feats!C$164:C$181,L25),Classes!C12&gt;0)</f>
        <v>0</v>
      </c>
      <c r="O25" t="s">
        <v>527</v>
      </c>
      <c r="P25" t="s">
        <v>488</v>
      </c>
      <c r="Q25" t="s">
        <v>521</v>
      </c>
      <c r="R25" t="s">
        <v>518</v>
      </c>
      <c r="S25">
        <v>3</v>
      </c>
      <c r="V25" t="s">
        <v>584</v>
      </c>
      <c r="W25" t="s">
        <v>520</v>
      </c>
      <c r="X25" t="b">
        <f>N60</f>
        <v>0</v>
      </c>
      <c r="Y25" t="s">
        <v>595</v>
      </c>
      <c r="Z25" t="s">
        <v>488</v>
      </c>
      <c r="AA25" t="s">
        <v>524</v>
      </c>
      <c r="AB25">
        <v>10</v>
      </c>
      <c r="AC25" t="s">
        <v>518</v>
      </c>
      <c r="AD25">
        <v>2</v>
      </c>
      <c r="AN25" s="53"/>
      <c r="AO25" s="53"/>
      <c r="AP25" s="53"/>
      <c r="AQ25" s="53"/>
      <c r="AT25" t="b">
        <f>IF(X10,V10)</f>
        <v>0</v>
      </c>
      <c r="AU25" t="e">
        <f ca="1">MATCH("*",OFFSET(AT$2,AU24,0):AT$77,0)+AU24</f>
        <v>#N/A</v>
      </c>
      <c r="AV25" t="str">
        <f ca="1" t="shared" si="0"/>
        <v>^</v>
      </c>
      <c r="AZ25" t="s">
        <v>563</v>
      </c>
    </row>
    <row r="26" spans="1:52" ht="12.75">
      <c r="A26" s="51" t="s">
        <v>483</v>
      </c>
      <c r="B26" s="51" t="s">
        <v>404</v>
      </c>
      <c r="C26" s="51" t="s">
        <v>403</v>
      </c>
      <c r="D26" s="51" t="s">
        <v>402</v>
      </c>
      <c r="E26" s="51" t="s">
        <v>84</v>
      </c>
      <c r="F26" s="51" t="s">
        <v>81</v>
      </c>
      <c r="G26" s="51" t="s">
        <v>401</v>
      </c>
      <c r="H26" s="51" t="s">
        <v>400</v>
      </c>
      <c r="I26" s="51" t="s">
        <v>399</v>
      </c>
      <c r="J26" s="51" t="s">
        <v>398</v>
      </c>
      <c r="L26" t="s">
        <v>547</v>
      </c>
      <c r="M26" t="s">
        <v>520</v>
      </c>
      <c r="N26" t="b">
        <f>OR(Feats!$H$114="All",COUNTIF(Feats!C$164:C$181,L26))</f>
        <v>0</v>
      </c>
      <c r="O26" t="s">
        <v>530</v>
      </c>
      <c r="P26" t="s">
        <v>495</v>
      </c>
      <c r="Q26" t="s">
        <v>517</v>
      </c>
      <c r="R26" t="s">
        <v>525</v>
      </c>
      <c r="S26">
        <v>10</v>
      </c>
      <c r="V26" t="s">
        <v>637</v>
      </c>
      <c r="W26" t="s">
        <v>536</v>
      </c>
      <c r="X26" t="b">
        <v>1</v>
      </c>
      <c r="Y26" t="s">
        <v>104</v>
      </c>
      <c r="Z26" t="s">
        <v>476</v>
      </c>
      <c r="AA26" t="s">
        <v>476</v>
      </c>
      <c r="AC26" t="s">
        <v>476</v>
      </c>
      <c r="AN26" s="53"/>
      <c r="AO26" s="53"/>
      <c r="AP26" s="53"/>
      <c r="AQ26" s="53"/>
      <c r="AT26" t="b">
        <f>IF(N25,L25)</f>
        <v>0</v>
      </c>
      <c r="AU26" t="e">
        <f ca="1">MATCH("*",OFFSET(AT$2,AU25,0):AT$77,0)+AU25</f>
        <v>#N/A</v>
      </c>
      <c r="AV26" t="str">
        <f ca="1" t="shared" si="0"/>
        <v>^</v>
      </c>
      <c r="AZ26" t="s">
        <v>569</v>
      </c>
    </row>
    <row r="27" spans="1:52" ht="12.75">
      <c r="A27" t="s">
        <v>476</v>
      </c>
      <c r="B27" t="s">
        <v>476</v>
      </c>
      <c r="C27" t="s">
        <v>476</v>
      </c>
      <c r="D27" t="s">
        <v>476</v>
      </c>
      <c r="E27" t="s">
        <v>476</v>
      </c>
      <c r="F27" t="s">
        <v>476</v>
      </c>
      <c r="G27" t="s">
        <v>476</v>
      </c>
      <c r="H27" t="s">
        <v>476</v>
      </c>
      <c r="I27" t="s">
        <v>476</v>
      </c>
      <c r="J27" t="s">
        <v>476</v>
      </c>
      <c r="L27" t="s">
        <v>548</v>
      </c>
      <c r="M27" t="s">
        <v>523</v>
      </c>
      <c r="N27" t="b">
        <f>OR(Feats!$H$138&gt;0,Begin!$I$83=L27)</f>
        <v>0</v>
      </c>
      <c r="O27" t="s">
        <v>516</v>
      </c>
      <c r="P27" t="s">
        <v>489</v>
      </c>
      <c r="Q27" t="s">
        <v>524</v>
      </c>
      <c r="R27" t="s">
        <v>525</v>
      </c>
      <c r="S27">
        <v>8</v>
      </c>
      <c r="V27" t="s">
        <v>585</v>
      </c>
      <c r="W27" t="s">
        <v>520</v>
      </c>
      <c r="X27" t="b">
        <f>N62</f>
        <v>0</v>
      </c>
      <c r="Y27" t="s">
        <v>595</v>
      </c>
      <c r="Z27" t="s">
        <v>489</v>
      </c>
      <c r="AA27" t="s">
        <v>524</v>
      </c>
      <c r="AB27">
        <v>10</v>
      </c>
      <c r="AC27" t="s">
        <v>551</v>
      </c>
      <c r="AD27">
        <v>4</v>
      </c>
      <c r="AN27" s="53"/>
      <c r="AO27" s="53"/>
      <c r="AP27" s="53"/>
      <c r="AQ27" s="53"/>
      <c r="AT27" t="b">
        <f>IF(X11,V11)</f>
        <v>0</v>
      </c>
      <c r="AU27" t="e">
        <f ca="1">MATCH("*",OFFSET(AT$2,AU26,0):AT$77,0)+AU26</f>
        <v>#N/A</v>
      </c>
      <c r="AV27" t="str">
        <f ca="1" t="shared" si="0"/>
        <v>^</v>
      </c>
      <c r="AZ27" t="s">
        <v>570</v>
      </c>
    </row>
    <row r="28" spans="1:52" ht="12.75">
      <c r="A28" t="s">
        <v>484</v>
      </c>
      <c r="B28" t="s">
        <v>476</v>
      </c>
      <c r="C28" t="s">
        <v>476</v>
      </c>
      <c r="D28" t="s">
        <v>476</v>
      </c>
      <c r="E28" t="s">
        <v>476</v>
      </c>
      <c r="F28" t="s">
        <v>484</v>
      </c>
      <c r="G28" t="s">
        <v>485</v>
      </c>
      <c r="H28" t="s">
        <v>486</v>
      </c>
      <c r="I28" t="s">
        <v>487</v>
      </c>
      <c r="J28" t="s">
        <v>488</v>
      </c>
      <c r="L28" t="s">
        <v>549</v>
      </c>
      <c r="M28" t="s">
        <v>520</v>
      </c>
      <c r="N28" t="b">
        <f>OR(Feats!$H$114="All",COUNTIF(Feats!C$164:C$181,L28))</f>
        <v>0</v>
      </c>
      <c r="O28" t="s">
        <v>516</v>
      </c>
      <c r="P28" t="s">
        <v>488</v>
      </c>
      <c r="Q28" t="s">
        <v>550</v>
      </c>
      <c r="R28" t="s">
        <v>551</v>
      </c>
      <c r="S28">
        <v>6</v>
      </c>
      <c r="AN28" s="53"/>
      <c r="AO28" s="53"/>
      <c r="AP28" s="53"/>
      <c r="AQ28" s="53"/>
      <c r="AT28" t="b">
        <f>IF(N26,L26)</f>
        <v>0</v>
      </c>
      <c r="AU28" t="e">
        <f ca="1">MATCH("*",OFFSET(AT$2,AU27,0):AT$77,0)+AU27</f>
        <v>#N/A</v>
      </c>
      <c r="AV28" t="str">
        <f ca="1" t="shared" si="0"/>
        <v>^</v>
      </c>
      <c r="AZ28" t="s">
        <v>572</v>
      </c>
    </row>
    <row r="29" spans="1:52" ht="12.75">
      <c r="A29" t="s">
        <v>485</v>
      </c>
      <c r="B29" t="s">
        <v>476</v>
      </c>
      <c r="C29" t="s">
        <v>476</v>
      </c>
      <c r="D29" t="s">
        <v>476</v>
      </c>
      <c r="E29" t="s">
        <v>484</v>
      </c>
      <c r="F29" t="s">
        <v>485</v>
      </c>
      <c r="G29" t="s">
        <v>486</v>
      </c>
      <c r="H29" t="s">
        <v>487</v>
      </c>
      <c r="I29" t="s">
        <v>488</v>
      </c>
      <c r="J29" t="s">
        <v>489</v>
      </c>
      <c r="L29" t="s">
        <v>552</v>
      </c>
      <c r="M29" t="s">
        <v>520</v>
      </c>
      <c r="N29" t="b">
        <f>OR(Feats!$H$114="All",COUNTIF(Feats!C$164:C$181,L29))</f>
        <v>0</v>
      </c>
      <c r="O29" t="s">
        <v>516</v>
      </c>
      <c r="P29" t="s">
        <v>487</v>
      </c>
      <c r="Q29" t="s">
        <v>524</v>
      </c>
      <c r="R29" t="s">
        <v>525</v>
      </c>
      <c r="AN29" s="53"/>
      <c r="AO29" s="53"/>
      <c r="AP29" s="53"/>
      <c r="AQ29" s="53"/>
      <c r="AT29" t="b">
        <f>IF(N27,L27)</f>
        <v>0</v>
      </c>
      <c r="AU29" t="e">
        <f ca="1">MATCH("*",OFFSET(AT$2,AU28,0):AT$77,0)+AU28</f>
        <v>#N/A</v>
      </c>
      <c r="AV29" t="str">
        <f ca="1" t="shared" si="0"/>
        <v>^</v>
      </c>
      <c r="AZ29" t="s">
        <v>574</v>
      </c>
    </row>
    <row r="30" spans="1:52" ht="12.75">
      <c r="A30" t="s">
        <v>486</v>
      </c>
      <c r="B30" t="s">
        <v>476</v>
      </c>
      <c r="C30" t="s">
        <v>476</v>
      </c>
      <c r="D30" t="s">
        <v>484</v>
      </c>
      <c r="E30" t="s">
        <v>485</v>
      </c>
      <c r="F30" t="s">
        <v>486</v>
      </c>
      <c r="G30" t="s">
        <v>487</v>
      </c>
      <c r="H30" t="s">
        <v>488</v>
      </c>
      <c r="I30" t="s">
        <v>489</v>
      </c>
      <c r="J30" t="s">
        <v>490</v>
      </c>
      <c r="L30" t="s">
        <v>553</v>
      </c>
      <c r="M30" t="s">
        <v>520</v>
      </c>
      <c r="N30" t="b">
        <f>OR(Feats!$H$114="All",COUNTIF(Feats!C$164:C$181,L30))</f>
        <v>0</v>
      </c>
      <c r="O30" t="s">
        <v>516</v>
      </c>
      <c r="P30" t="s">
        <v>488</v>
      </c>
      <c r="Q30" t="s">
        <v>524</v>
      </c>
      <c r="R30" t="s">
        <v>551</v>
      </c>
      <c r="AT30" t="b">
        <f>IF(N28,L28)</f>
        <v>0</v>
      </c>
      <c r="AU30" t="e">
        <f ca="1">MATCH("*",OFFSET(AT$2,AU29,0):AT$77,0)+AU29</f>
        <v>#N/A</v>
      </c>
      <c r="AV30" t="str">
        <f ca="1" t="shared" si="0"/>
        <v>^</v>
      </c>
      <c r="AZ30" t="s">
        <v>575</v>
      </c>
    </row>
    <row r="31" spans="1:52" ht="12.75">
      <c r="A31" t="s">
        <v>487</v>
      </c>
      <c r="B31" t="s">
        <v>476</v>
      </c>
      <c r="C31" t="s">
        <v>484</v>
      </c>
      <c r="D31" t="s">
        <v>485</v>
      </c>
      <c r="E31" t="s">
        <v>486</v>
      </c>
      <c r="F31" t="s">
        <v>487</v>
      </c>
      <c r="G31" t="s">
        <v>488</v>
      </c>
      <c r="H31" t="s">
        <v>489</v>
      </c>
      <c r="I31" t="s">
        <v>490</v>
      </c>
      <c r="J31" t="s">
        <v>491</v>
      </c>
      <c r="L31" t="s">
        <v>554</v>
      </c>
      <c r="M31" t="s">
        <v>515</v>
      </c>
      <c r="N31" t="b">
        <f>OR(COUNTIF(Feats!A$164:A$181,L31)&gt;0,Classes!C12&gt;0)</f>
        <v>0</v>
      </c>
      <c r="O31" t="s">
        <v>527</v>
      </c>
      <c r="P31" t="s">
        <v>488</v>
      </c>
      <c r="Q31" t="s">
        <v>524</v>
      </c>
      <c r="R31" t="s">
        <v>518</v>
      </c>
      <c r="S31">
        <v>2</v>
      </c>
      <c r="AT31" t="b">
        <f>IF(N29,L29)</f>
        <v>0</v>
      </c>
      <c r="AU31" t="e">
        <f ca="1">MATCH("*",OFFSET(AT$2,AU30,0):AT$77,0)+AU30</f>
        <v>#N/A</v>
      </c>
      <c r="AV31" t="str">
        <f ca="1" t="shared" si="0"/>
        <v>^</v>
      </c>
      <c r="AZ31" t="s">
        <v>576</v>
      </c>
    </row>
    <row r="32" spans="1:52" ht="12.75">
      <c r="A32" t="s">
        <v>488</v>
      </c>
      <c r="B32" t="s">
        <v>484</v>
      </c>
      <c r="C32" t="s">
        <v>485</v>
      </c>
      <c r="D32" t="s">
        <v>486</v>
      </c>
      <c r="E32" t="s">
        <v>487</v>
      </c>
      <c r="F32" t="s">
        <v>488</v>
      </c>
      <c r="G32" t="s">
        <v>489</v>
      </c>
      <c r="H32" t="s">
        <v>490</v>
      </c>
      <c r="I32" t="s">
        <v>491</v>
      </c>
      <c r="J32" t="s">
        <v>492</v>
      </c>
      <c r="L32" t="s">
        <v>555</v>
      </c>
      <c r="M32" t="s">
        <v>520</v>
      </c>
      <c r="N32" t="b">
        <f>OR(Feats!$H$114="All",COUNTIF(Feats!C$164:C$181,L32))</f>
        <v>0</v>
      </c>
      <c r="O32" t="s">
        <v>527</v>
      </c>
      <c r="P32" t="s">
        <v>487</v>
      </c>
      <c r="Q32" t="s">
        <v>533</v>
      </c>
      <c r="R32" t="s">
        <v>518</v>
      </c>
      <c r="S32">
        <v>2</v>
      </c>
      <c r="AT32" t="b">
        <f>IF(N30,L30)</f>
        <v>0</v>
      </c>
      <c r="AU32" t="e">
        <f ca="1">MATCH("*",OFFSET(AT$2,AU31,0):AT$77,0)+AU31</f>
        <v>#N/A</v>
      </c>
      <c r="AV32" t="str">
        <f ca="1" t="shared" si="0"/>
        <v>^</v>
      </c>
      <c r="AZ32" t="s">
        <v>608</v>
      </c>
    </row>
    <row r="33" spans="1:52" ht="12.75">
      <c r="A33" t="s">
        <v>493</v>
      </c>
      <c r="B33" t="s">
        <v>485</v>
      </c>
      <c r="C33" t="s">
        <v>486</v>
      </c>
      <c r="D33" t="s">
        <v>487</v>
      </c>
      <c r="E33" t="s">
        <v>488</v>
      </c>
      <c r="F33" t="s">
        <v>493</v>
      </c>
      <c r="G33" t="s">
        <v>490</v>
      </c>
      <c r="H33" t="s">
        <v>491</v>
      </c>
      <c r="I33" t="s">
        <v>492</v>
      </c>
      <c r="J33" t="s">
        <v>494</v>
      </c>
      <c r="L33" t="s">
        <v>556</v>
      </c>
      <c r="M33" t="s">
        <v>520</v>
      </c>
      <c r="N33" t="b">
        <f>OR(Feats!$H$114="All",COUNTIF(Feats!C$164:C$181,L33))</f>
        <v>0</v>
      </c>
      <c r="O33" t="s">
        <v>530</v>
      </c>
      <c r="P33" t="s">
        <v>489</v>
      </c>
      <c r="Q33" t="s">
        <v>521</v>
      </c>
      <c r="R33" t="s">
        <v>551</v>
      </c>
      <c r="S33">
        <v>10</v>
      </c>
      <c r="T33" t="s">
        <v>538</v>
      </c>
      <c r="AT33" t="b">
        <f>IF(X12,V12)</f>
        <v>0</v>
      </c>
      <c r="AU33" t="e">
        <f ca="1">MATCH("*",OFFSET(AT$2,AU32,0):AT$77,0)+AU32</f>
        <v>#N/A</v>
      </c>
      <c r="AV33" t="str">
        <f ca="1" t="shared" si="0"/>
        <v>^</v>
      </c>
      <c r="AZ33" t="s">
        <v>581</v>
      </c>
    </row>
    <row r="34" spans="1:52" ht="12.75">
      <c r="A34" t="s">
        <v>489</v>
      </c>
      <c r="B34" t="s">
        <v>485</v>
      </c>
      <c r="C34" t="s">
        <v>486</v>
      </c>
      <c r="D34" t="s">
        <v>487</v>
      </c>
      <c r="E34" t="s">
        <v>488</v>
      </c>
      <c r="F34" t="s">
        <v>489</v>
      </c>
      <c r="G34" t="s">
        <v>490</v>
      </c>
      <c r="H34" t="s">
        <v>491</v>
      </c>
      <c r="I34" t="s">
        <v>492</v>
      </c>
      <c r="J34" t="s">
        <v>494</v>
      </c>
      <c r="L34" t="s">
        <v>557</v>
      </c>
      <c r="M34" t="s">
        <v>520</v>
      </c>
      <c r="N34" t="b">
        <f>OR(Feats!$H$114="All",COUNTIF(Feats!C$164:C$181,L34))</f>
        <v>0</v>
      </c>
      <c r="O34" t="s">
        <v>527</v>
      </c>
      <c r="P34" t="s">
        <v>487</v>
      </c>
      <c r="Q34" t="s">
        <v>524</v>
      </c>
      <c r="R34" t="s">
        <v>525</v>
      </c>
      <c r="S34">
        <v>2</v>
      </c>
      <c r="AT34" t="b">
        <f>IF(N31,L31)</f>
        <v>0</v>
      </c>
      <c r="AU34" t="e">
        <f ca="1">MATCH("*",OFFSET(AT$2,AU33,0):AT$77,0)+AU33</f>
        <v>#N/A</v>
      </c>
      <c r="AV34" t="str">
        <f ca="1" t="shared" si="0"/>
        <v>^</v>
      </c>
      <c r="AZ34" t="s">
        <v>584</v>
      </c>
    </row>
    <row r="35" spans="1:52" ht="12.75">
      <c r="A35" t="s">
        <v>495</v>
      </c>
      <c r="B35" t="s">
        <v>486</v>
      </c>
      <c r="C35" t="s">
        <v>487</v>
      </c>
      <c r="D35" t="s">
        <v>488</v>
      </c>
      <c r="E35" t="s">
        <v>489</v>
      </c>
      <c r="F35" t="s">
        <v>495</v>
      </c>
      <c r="G35" t="s">
        <v>496</v>
      </c>
      <c r="H35" t="s">
        <v>497</v>
      </c>
      <c r="I35" t="s">
        <v>498</v>
      </c>
      <c r="J35" t="s">
        <v>499</v>
      </c>
      <c r="L35" t="s">
        <v>558</v>
      </c>
      <c r="M35" t="s">
        <v>523</v>
      </c>
      <c r="N35" t="b">
        <f>OR(Feats!$H$138&gt;0,Begin!$I$83=L35)</f>
        <v>0</v>
      </c>
      <c r="O35" t="s">
        <v>527</v>
      </c>
      <c r="P35" t="s">
        <v>488</v>
      </c>
      <c r="Q35" t="s">
        <v>524</v>
      </c>
      <c r="R35" t="s">
        <v>525</v>
      </c>
      <c r="S35">
        <v>4</v>
      </c>
      <c r="AT35" t="b">
        <f>IF(N32,L32)</f>
        <v>0</v>
      </c>
      <c r="AU35" t="e">
        <f ca="1">MATCH("*",OFFSET(AT$2,AU34,0):AT$77,0)+AU34</f>
        <v>#N/A</v>
      </c>
      <c r="AV35" t="str">
        <f ca="1" t="shared" si="0"/>
        <v>^</v>
      </c>
      <c r="AZ35" t="s">
        <v>585</v>
      </c>
    </row>
    <row r="36" spans="1:52" ht="12.75">
      <c r="A36" t="s">
        <v>500</v>
      </c>
      <c r="B36" t="s">
        <v>487</v>
      </c>
      <c r="C36" t="s">
        <v>488</v>
      </c>
      <c r="D36" t="s">
        <v>489</v>
      </c>
      <c r="E36" t="s">
        <v>495</v>
      </c>
      <c r="F36" t="s">
        <v>500</v>
      </c>
      <c r="G36" t="s">
        <v>491</v>
      </c>
      <c r="H36" t="s">
        <v>492</v>
      </c>
      <c r="I36" t="s">
        <v>494</v>
      </c>
      <c r="J36" t="s">
        <v>501</v>
      </c>
      <c r="L36" t="s">
        <v>559</v>
      </c>
      <c r="M36" t="s">
        <v>520</v>
      </c>
      <c r="N36" t="b">
        <f>OR(Feats!$H$114="All",COUNTIF(Feats!C$164:C$181,L36))</f>
        <v>0</v>
      </c>
      <c r="O36" t="s">
        <v>527</v>
      </c>
      <c r="P36" t="s">
        <v>487</v>
      </c>
      <c r="Q36" t="s">
        <v>550</v>
      </c>
      <c r="R36" t="s">
        <v>551</v>
      </c>
      <c r="S36">
        <v>3</v>
      </c>
      <c r="AT36" t="b">
        <f>IF(N33,L33)</f>
        <v>0</v>
      </c>
      <c r="AU36" t="e">
        <f ca="1">MATCH("*",OFFSET(AT$2,AU35,0):AT$77,0)+AU35</f>
        <v>#N/A</v>
      </c>
      <c r="AV36" t="str">
        <f ca="1" t="shared" si="0"/>
        <v>^</v>
      </c>
      <c r="AZ36" t="s">
        <v>588</v>
      </c>
    </row>
    <row r="37" spans="1:52" ht="12.75">
      <c r="A37" t="s">
        <v>490</v>
      </c>
      <c r="B37" t="s">
        <v>487</v>
      </c>
      <c r="C37" t="s">
        <v>488</v>
      </c>
      <c r="D37" t="s">
        <v>489</v>
      </c>
      <c r="E37" t="s">
        <v>495</v>
      </c>
      <c r="F37" t="s">
        <v>490</v>
      </c>
      <c r="G37" t="s">
        <v>491</v>
      </c>
      <c r="H37" t="s">
        <v>492</v>
      </c>
      <c r="I37" t="s">
        <v>494</v>
      </c>
      <c r="J37" t="s">
        <v>501</v>
      </c>
      <c r="L37" t="s">
        <v>560</v>
      </c>
      <c r="M37" t="s">
        <v>520</v>
      </c>
      <c r="N37" t="b">
        <f>OR(Feats!$H$114="All",COUNTIF(Feats!C$164:C$181,L37))</f>
        <v>0</v>
      </c>
      <c r="O37" t="s">
        <v>527</v>
      </c>
      <c r="P37" t="s">
        <v>486</v>
      </c>
      <c r="Q37" t="s">
        <v>524</v>
      </c>
      <c r="R37" t="s">
        <v>525</v>
      </c>
      <c r="AT37" t="b">
        <f>IF(X13,V13)</f>
        <v>0</v>
      </c>
      <c r="AU37" t="e">
        <f ca="1">MATCH("*",OFFSET(AT$2,AU36,0):AT$77,0)+AU36</f>
        <v>#N/A</v>
      </c>
      <c r="AV37" t="str">
        <f ca="1" t="shared" si="0"/>
        <v>^</v>
      </c>
      <c r="AZ37" t="str">
        <f>IF(Race="Dwarf","Dw. waraxe (one-handed)","*")</f>
        <v>*</v>
      </c>
    </row>
    <row r="38" spans="1:52" ht="12.75">
      <c r="A38" t="s">
        <v>496</v>
      </c>
      <c r="B38" t="s">
        <v>488</v>
      </c>
      <c r="C38" t="s">
        <v>489</v>
      </c>
      <c r="D38" t="s">
        <v>495</v>
      </c>
      <c r="E38" t="s">
        <v>490</v>
      </c>
      <c r="F38" t="s">
        <v>496</v>
      </c>
      <c r="G38" t="s">
        <v>497</v>
      </c>
      <c r="H38" t="s">
        <v>498</v>
      </c>
      <c r="I38" t="s">
        <v>499</v>
      </c>
      <c r="J38" t="s">
        <v>502</v>
      </c>
      <c r="L38" t="s">
        <v>561</v>
      </c>
      <c r="M38" t="s">
        <v>520</v>
      </c>
      <c r="N38" t="b">
        <f>OR(Feats!$H$114="All",COUNTIF(Feats!C$164:C$181,L38))</f>
        <v>0</v>
      </c>
      <c r="O38" t="s">
        <v>527</v>
      </c>
      <c r="P38" t="s">
        <v>487</v>
      </c>
      <c r="Q38" t="s">
        <v>524</v>
      </c>
      <c r="R38" t="s">
        <v>551</v>
      </c>
      <c r="AT38" t="b">
        <f>IF(N34,L34)</f>
        <v>0</v>
      </c>
      <c r="AU38" t="e">
        <f ca="1">MATCH("*",OFFSET(AT$2,AU37,0):AT$77,0)+AU37</f>
        <v>#N/A</v>
      </c>
      <c r="AV38" t="str">
        <f ca="1" t="shared" si="0"/>
        <v>^</v>
      </c>
      <c r="AZ38" t="str">
        <f>IF(Race="Dwarf","Dw. urgrosh","*")</f>
        <v>*</v>
      </c>
    </row>
    <row r="39" spans="1:52" ht="12.75">
      <c r="A39" t="s">
        <v>491</v>
      </c>
      <c r="B39" t="s">
        <v>488</v>
      </c>
      <c r="C39" t="s">
        <v>489</v>
      </c>
      <c r="D39" t="s">
        <v>495</v>
      </c>
      <c r="E39" t="s">
        <v>490</v>
      </c>
      <c r="F39" t="s">
        <v>491</v>
      </c>
      <c r="G39" t="s">
        <v>492</v>
      </c>
      <c r="H39" t="s">
        <v>494</v>
      </c>
      <c r="I39" t="s">
        <v>501</v>
      </c>
      <c r="J39" t="s">
        <v>503</v>
      </c>
      <c r="L39" t="s">
        <v>562</v>
      </c>
      <c r="M39" t="s">
        <v>523</v>
      </c>
      <c r="N39" t="b">
        <f>OR(Feats!$H$138&gt;0,Begin!$I$83=L39)</f>
        <v>0</v>
      </c>
      <c r="O39" t="s">
        <v>530</v>
      </c>
      <c r="P39" t="s">
        <v>489</v>
      </c>
      <c r="Q39" t="s">
        <v>521</v>
      </c>
      <c r="R39" t="s">
        <v>551</v>
      </c>
      <c r="S39">
        <v>9</v>
      </c>
      <c r="T39" t="s">
        <v>538</v>
      </c>
      <c r="AT39" t="b">
        <f>IF(N35,L35)</f>
        <v>0</v>
      </c>
      <c r="AU39" t="e">
        <f ca="1">MATCH("*",OFFSET(AT$2,AU38,0):AT$77,0)+AU38</f>
        <v>#N/A</v>
      </c>
      <c r="AV39" t="str">
        <f ca="1" t="shared" si="0"/>
        <v>^</v>
      </c>
      <c r="AZ39" t="str">
        <f>IF(Race="Gnome","Gn. hooked hammer","*")</f>
        <v>*</v>
      </c>
    </row>
    <row r="40" spans="1:48" ht="12.75">
      <c r="A40" t="s">
        <v>504</v>
      </c>
      <c r="B40" t="s">
        <v>488</v>
      </c>
      <c r="C40" t="s">
        <v>489</v>
      </c>
      <c r="D40" t="s">
        <v>495</v>
      </c>
      <c r="E40" t="s">
        <v>496</v>
      </c>
      <c r="F40" t="s">
        <v>504</v>
      </c>
      <c r="G40" t="s">
        <v>498</v>
      </c>
      <c r="H40" t="s">
        <v>499</v>
      </c>
      <c r="I40" t="s">
        <v>502</v>
      </c>
      <c r="J40" t="s">
        <v>505</v>
      </c>
      <c r="L40" t="s">
        <v>563</v>
      </c>
      <c r="M40" t="s">
        <v>520</v>
      </c>
      <c r="N40" t="b">
        <f>OR(Feats!$H$114="All",COUNTIF(Feats!C$164:C$181,L40),Classes!C6&gt;0,Race="Elf")</f>
        <v>0</v>
      </c>
      <c r="O40" t="s">
        <v>516</v>
      </c>
      <c r="P40" t="s">
        <v>489</v>
      </c>
      <c r="Q40" t="s">
        <v>517</v>
      </c>
      <c r="R40" t="s">
        <v>518</v>
      </c>
      <c r="S40">
        <v>4</v>
      </c>
      <c r="AT40" t="b">
        <f>IF(N36,L36)</f>
        <v>0</v>
      </c>
      <c r="AU40" t="e">
        <f ca="1">MATCH("*",OFFSET(AT$2,AU39,0):AT$77,0)+AU39</f>
        <v>#N/A</v>
      </c>
      <c r="AV40" t="str">
        <f ca="1" t="shared" si="0"/>
        <v>^</v>
      </c>
    </row>
    <row r="41" spans="1:48" ht="12.75">
      <c r="A41" t="s">
        <v>506</v>
      </c>
      <c r="B41" t="s">
        <v>488</v>
      </c>
      <c r="C41" t="s">
        <v>489</v>
      </c>
      <c r="D41" t="s">
        <v>495</v>
      </c>
      <c r="E41" t="s">
        <v>496</v>
      </c>
      <c r="F41" t="s">
        <v>506</v>
      </c>
      <c r="G41" t="s">
        <v>498</v>
      </c>
      <c r="H41" t="s">
        <v>499</v>
      </c>
      <c r="I41" t="s">
        <v>502</v>
      </c>
      <c r="J41" t="s">
        <v>505</v>
      </c>
      <c r="L41" t="s">
        <v>564</v>
      </c>
      <c r="M41" t="s">
        <v>523</v>
      </c>
      <c r="N41" t="b">
        <f>Feats!H138&gt;0</f>
        <v>0</v>
      </c>
      <c r="O41" t="s">
        <v>516</v>
      </c>
      <c r="P41" t="s">
        <v>489</v>
      </c>
      <c r="Q41" t="s">
        <v>524</v>
      </c>
      <c r="R41" t="s">
        <v>540</v>
      </c>
      <c r="S41">
        <v>6</v>
      </c>
      <c r="AT41" t="b">
        <f>IF(N37,L37)</f>
        <v>0</v>
      </c>
      <c r="AU41" t="e">
        <f ca="1">MATCH("*",OFFSET(AT$2,AU40,0):AT$77,0)+AU40</f>
        <v>#N/A</v>
      </c>
      <c r="AV41" t="str">
        <f ca="1" t="shared" si="0"/>
        <v>^</v>
      </c>
    </row>
    <row r="42" spans="2:48" ht="12.75">
      <c r="B42" s="52"/>
      <c r="L42" t="s">
        <v>565</v>
      </c>
      <c r="M42" t="s">
        <v>515</v>
      </c>
      <c r="N42" t="b">
        <f>OR(COUNTIF(Feats!A$164:A$181,L42)&gt;0,Classes!C12&gt;0)</f>
        <v>0</v>
      </c>
      <c r="O42" t="s">
        <v>527</v>
      </c>
      <c r="P42" t="s">
        <v>488</v>
      </c>
      <c r="Q42" t="s">
        <v>524</v>
      </c>
      <c r="R42" t="s">
        <v>525</v>
      </c>
      <c r="S42">
        <v>2</v>
      </c>
      <c r="AT42" t="b">
        <f>IF(N38,L38)</f>
        <v>0</v>
      </c>
      <c r="AU42" t="e">
        <f ca="1">MATCH("*",OFFSET(AT$2,AU41,0):AT$77,0)+AU41</f>
        <v>#N/A</v>
      </c>
      <c r="AV42" t="str">
        <f ca="1" t="shared" si="0"/>
        <v>^</v>
      </c>
    </row>
    <row r="43" spans="1:48" ht="12.75">
      <c r="A43" s="8" t="s">
        <v>865</v>
      </c>
      <c r="B43" s="8" t="s">
        <v>866</v>
      </c>
      <c r="L43" t="s">
        <v>566</v>
      </c>
      <c r="M43" t="s">
        <v>515</v>
      </c>
      <c r="N43" t="b">
        <f>COUNTIF(Feats!A$164:A$181,L43)&gt;0</f>
        <v>0</v>
      </c>
      <c r="O43" t="s">
        <v>531</v>
      </c>
      <c r="P43" t="s">
        <v>489</v>
      </c>
      <c r="Q43" t="s">
        <v>521</v>
      </c>
      <c r="R43" t="s">
        <v>518</v>
      </c>
      <c r="S43">
        <v>15</v>
      </c>
      <c r="T43" t="s">
        <v>566</v>
      </c>
      <c r="AT43" t="b">
        <f>IF(X15,V15)</f>
        <v>0</v>
      </c>
      <c r="AU43" t="e">
        <f ca="1">MATCH("*",OFFSET(AT$2,AU42,0):AT$77,0)+AU42</f>
        <v>#N/A</v>
      </c>
      <c r="AV43" t="str">
        <f ca="1" t="shared" si="0"/>
        <v>^</v>
      </c>
    </row>
    <row r="44" spans="1:48" ht="12.75">
      <c r="A44">
        <v>0</v>
      </c>
      <c r="B44">
        <v>0</v>
      </c>
      <c r="L44" t="s">
        <v>567</v>
      </c>
      <c r="M44" t="s">
        <v>523</v>
      </c>
      <c r="N44" t="b">
        <f>OR(Feats!$H$138&gt;0,Begin!$I$83=L44)</f>
        <v>0</v>
      </c>
      <c r="O44" t="s">
        <v>527</v>
      </c>
      <c r="P44" t="s">
        <v>487</v>
      </c>
      <c r="Q44" t="s">
        <v>521</v>
      </c>
      <c r="R44" t="s">
        <v>551</v>
      </c>
      <c r="S44">
        <v>1</v>
      </c>
      <c r="AT44" t="b">
        <f>IF(N39,L39)</f>
        <v>0</v>
      </c>
      <c r="AU44" t="e">
        <f ca="1">MATCH("*",OFFSET(AT$2,AU43,0):AT$77,0)+AU43</f>
        <v>#N/A</v>
      </c>
      <c r="AV44" t="str">
        <f ca="1" t="shared" si="0"/>
        <v>^</v>
      </c>
    </row>
    <row r="45" spans="1:48" ht="12.75">
      <c r="A45">
        <v>20</v>
      </c>
      <c r="B45">
        <v>15</v>
      </c>
      <c r="L45" t="s">
        <v>568</v>
      </c>
      <c r="M45" t="s">
        <v>523</v>
      </c>
      <c r="N45" t="b">
        <f>OR(Feats!$H$138&gt;0,Begin!$I$83=L45,SUM(Classes!C9,Classes!C12,Classes!C18)&gt;0)</f>
        <v>0</v>
      </c>
      <c r="O45" t="s">
        <v>531</v>
      </c>
      <c r="P45" t="s">
        <v>488</v>
      </c>
      <c r="Q45" t="s">
        <v>524</v>
      </c>
      <c r="R45" t="s">
        <v>525</v>
      </c>
      <c r="S45">
        <v>4</v>
      </c>
      <c r="T45" t="s">
        <v>568</v>
      </c>
      <c r="AT45" t="b">
        <f>IF(N40,L40)</f>
        <v>0</v>
      </c>
      <c r="AU45" t="e">
        <f ca="1">MATCH("*",OFFSET(AT$2,AU44,0):AT$77,0)+AU44</f>
        <v>#N/A</v>
      </c>
      <c r="AV45" t="str">
        <f ca="1" t="shared" si="0"/>
        <v>^</v>
      </c>
    </row>
    <row r="46" spans="1:48" ht="12.75">
      <c r="A46">
        <v>30</v>
      </c>
      <c r="B46">
        <v>20</v>
      </c>
      <c r="L46" t="s">
        <v>569</v>
      </c>
      <c r="M46" t="s">
        <v>520</v>
      </c>
      <c r="N46" t="b">
        <f>OR(Feats!$H$114="All",COUNTIF(Feats!C$164:C$181,L46))</f>
        <v>0</v>
      </c>
      <c r="O46" t="s">
        <v>530</v>
      </c>
      <c r="P46" t="s">
        <v>493</v>
      </c>
      <c r="Q46" t="s">
        <v>521</v>
      </c>
      <c r="R46" t="s">
        <v>551</v>
      </c>
      <c r="S46">
        <v>12</v>
      </c>
      <c r="T46" t="s">
        <v>538</v>
      </c>
      <c r="AT46" t="b">
        <f>IF(N41,L41)</f>
        <v>0</v>
      </c>
      <c r="AU46" t="e">
        <f ca="1">MATCH("*",OFFSET(AT$2,AU45,0):AT$77,0)+AU45</f>
        <v>#N/A</v>
      </c>
      <c r="AV46" t="str">
        <f ca="1" t="shared" si="0"/>
        <v>^</v>
      </c>
    </row>
    <row r="47" spans="1:48" ht="12.75">
      <c r="A47">
        <v>40</v>
      </c>
      <c r="B47">
        <v>30</v>
      </c>
      <c r="L47" t="s">
        <v>570</v>
      </c>
      <c r="M47" t="s">
        <v>520</v>
      </c>
      <c r="N47" t="b">
        <f>OR(Feats!$H$114="All",COUNTIF(Feats!C$164:C$181,L47),SUM(Classes!C6,Classes!C15)&gt;0,Race="Elf")</f>
        <v>0</v>
      </c>
      <c r="O47" t="s">
        <v>516</v>
      </c>
      <c r="P47" t="s">
        <v>488</v>
      </c>
      <c r="Q47" t="s">
        <v>533</v>
      </c>
      <c r="R47" t="s">
        <v>551</v>
      </c>
      <c r="S47">
        <v>2</v>
      </c>
      <c r="AT47" t="b">
        <f>IF(X16,V16)</f>
        <v>0</v>
      </c>
      <c r="AU47" t="e">
        <f ca="1">MATCH("*",OFFSET(AT$2,AU46,0):AT$77,0)+AU46</f>
        <v>#N/A</v>
      </c>
      <c r="AV47" t="str">
        <f ca="1" t="shared" si="0"/>
        <v>^</v>
      </c>
    </row>
    <row r="48" spans="1:48" ht="12.75">
      <c r="A48">
        <v>50</v>
      </c>
      <c r="B48">
        <v>35</v>
      </c>
      <c r="L48" t="s">
        <v>571</v>
      </c>
      <c r="M48" t="s">
        <v>515</v>
      </c>
      <c r="N48" t="b">
        <f>OR(COUNTIF(Feats!A$164:A$181,L48)&gt;0,Classes!C12&gt;0)</f>
        <v>0</v>
      </c>
      <c r="O48" t="s">
        <v>527</v>
      </c>
      <c r="P48" t="s">
        <v>487</v>
      </c>
      <c r="Q48" t="s">
        <v>524</v>
      </c>
      <c r="R48" t="s">
        <v>525</v>
      </c>
      <c r="S48">
        <v>1</v>
      </c>
      <c r="AT48" t="b">
        <f aca="true" t="shared" si="3" ref="AT48:AT53">IF(N42,L42)</f>
        <v>0</v>
      </c>
      <c r="AU48" t="e">
        <f ca="1">MATCH("*",OFFSET(AT$2,AU47,0):AT$77,0)+AU47</f>
        <v>#N/A</v>
      </c>
      <c r="AV48" t="str">
        <f ca="1" t="shared" si="0"/>
        <v>^</v>
      </c>
    </row>
    <row r="49" spans="1:48" ht="12.75">
      <c r="A49">
        <v>60</v>
      </c>
      <c r="B49">
        <v>40</v>
      </c>
      <c r="L49" t="s">
        <v>572</v>
      </c>
      <c r="M49" t="s">
        <v>520</v>
      </c>
      <c r="N49" t="b">
        <f>OR(Feats!$H$114="All",COUNTIF(Feats!C$164:C$181,L49),SUM(Classes!C6,Classes!C15)&gt;0)</f>
        <v>0</v>
      </c>
      <c r="O49" t="s">
        <v>527</v>
      </c>
      <c r="P49" t="s">
        <v>488</v>
      </c>
      <c r="Q49" t="s">
        <v>524</v>
      </c>
      <c r="R49" t="s">
        <v>525</v>
      </c>
      <c r="S49">
        <v>2</v>
      </c>
      <c r="T49" t="s">
        <v>573</v>
      </c>
      <c r="AT49" t="b">
        <f t="shared" si="3"/>
        <v>0</v>
      </c>
      <c r="AU49" t="e">
        <f ca="1">MATCH("*",OFFSET(AT$2,AU48,0):AT$77,0)+AU48</f>
        <v>#N/A</v>
      </c>
      <c r="AV49" t="str">
        <f ca="1" t="shared" si="0"/>
        <v>^</v>
      </c>
    </row>
    <row r="50" spans="1:48" ht="12.75">
      <c r="A50">
        <v>70</v>
      </c>
      <c r="B50">
        <v>50</v>
      </c>
      <c r="L50" t="s">
        <v>574</v>
      </c>
      <c r="M50" t="s">
        <v>520</v>
      </c>
      <c r="N50" t="b">
        <f>OR(Feats!$H$114="All",COUNTIF(Feats!C$164:C$181,L50),Classes!C9&gt;0)</f>
        <v>0</v>
      </c>
      <c r="O50" t="s">
        <v>516</v>
      </c>
      <c r="P50" t="s">
        <v>488</v>
      </c>
      <c r="Q50" t="s">
        <v>533</v>
      </c>
      <c r="R50" t="s">
        <v>518</v>
      </c>
      <c r="S50">
        <v>4</v>
      </c>
      <c r="AT50" t="b">
        <f t="shared" si="3"/>
        <v>0</v>
      </c>
      <c r="AU50" t="e">
        <f ca="1">MATCH("*",OFFSET(AT$2,AU49,0):AT$77,0)+AU49</f>
        <v>#N/A</v>
      </c>
      <c r="AV50" t="str">
        <f ca="1" t="shared" si="0"/>
        <v>^</v>
      </c>
    </row>
    <row r="51" spans="1:48" ht="12.75">
      <c r="A51">
        <v>80</v>
      </c>
      <c r="B51">
        <v>55</v>
      </c>
      <c r="L51" t="s">
        <v>575</v>
      </c>
      <c r="M51" t="s">
        <v>520</v>
      </c>
      <c r="N51" t="b">
        <f>OR(Feats!$H$114="All",COUNTIF(Feats!C$164:C$181,L51))</f>
        <v>0</v>
      </c>
      <c r="O51" t="s">
        <v>530</v>
      </c>
      <c r="P51" t="s">
        <v>493</v>
      </c>
      <c r="Q51" t="s">
        <v>550</v>
      </c>
      <c r="R51" t="s">
        <v>528</v>
      </c>
      <c r="S51">
        <v>10</v>
      </c>
      <c r="AT51" t="b">
        <f t="shared" si="3"/>
        <v>0</v>
      </c>
      <c r="AU51" t="e">
        <f ca="1">MATCH("*",OFFSET(AT$2,AU50,0):AT$77,0)+AU50</f>
        <v>#N/A</v>
      </c>
      <c r="AV51" t="str">
        <f ca="1" t="shared" si="0"/>
        <v>^</v>
      </c>
    </row>
    <row r="52" spans="1:48" ht="12.75">
      <c r="A52">
        <v>90</v>
      </c>
      <c r="B52">
        <v>60</v>
      </c>
      <c r="L52" t="s">
        <v>576</v>
      </c>
      <c r="M52" t="s">
        <v>520</v>
      </c>
      <c r="N52" t="b">
        <f>OR(Feats!$H$114="All",COUNTIF(Feats!C$164:C$181,L52),SUM(Classes!C6,Classes!C15)&gt;0)</f>
        <v>0</v>
      </c>
      <c r="O52" t="s">
        <v>527</v>
      </c>
      <c r="P52" t="s">
        <v>488</v>
      </c>
      <c r="Q52" t="s">
        <v>517</v>
      </c>
      <c r="R52" t="s">
        <v>551</v>
      </c>
      <c r="S52">
        <v>2</v>
      </c>
      <c r="AT52" t="b">
        <f t="shared" si="3"/>
        <v>0</v>
      </c>
      <c r="AU52" t="e">
        <f ca="1">MATCH("*",OFFSET(AT$2,AU51,0):AT$77,0)+AU51</f>
        <v>#N/A</v>
      </c>
      <c r="AV52" t="str">
        <f ca="1" t="shared" si="0"/>
        <v>^</v>
      </c>
    </row>
    <row r="53" spans="1:48" ht="12.75">
      <c r="A53">
        <v>100</v>
      </c>
      <c r="B53">
        <v>70</v>
      </c>
      <c r="L53" t="s">
        <v>577</v>
      </c>
      <c r="M53" t="s">
        <v>523</v>
      </c>
      <c r="N53" t="b">
        <f>OR(Feats!$H$138&gt;0,Begin!$I$83=L53,Classes!C9&gt;0)</f>
        <v>0</v>
      </c>
      <c r="O53" t="s">
        <v>516</v>
      </c>
      <c r="P53" t="s">
        <v>488</v>
      </c>
      <c r="Q53" t="s">
        <v>524</v>
      </c>
      <c r="R53" t="s">
        <v>551</v>
      </c>
      <c r="S53">
        <v>3</v>
      </c>
      <c r="AT53" t="b">
        <f t="shared" si="3"/>
        <v>0</v>
      </c>
      <c r="AU53" t="e">
        <f ca="1">MATCH("*",OFFSET(AT$2,AU52,0):AT$77,0)+AU52</f>
        <v>#N/A</v>
      </c>
      <c r="AV53" t="str">
        <f ca="1" t="shared" si="0"/>
        <v>^</v>
      </c>
    </row>
    <row r="54" spans="12:48" ht="12.75">
      <c r="L54" t="s">
        <v>578</v>
      </c>
      <c r="M54" t="s">
        <v>515</v>
      </c>
      <c r="N54" t="b">
        <f>OR(COUNTIF(Feats!A$164:A$181,L54)&gt;0,Classes!C12&gt;0)</f>
        <v>0</v>
      </c>
      <c r="O54" t="s">
        <v>527</v>
      </c>
      <c r="P54" t="s">
        <v>488</v>
      </c>
      <c r="Q54" t="s">
        <v>524</v>
      </c>
      <c r="R54" t="s">
        <v>551</v>
      </c>
      <c r="S54">
        <v>1</v>
      </c>
      <c r="AT54" t="b">
        <f>IF(X17,V17)</f>
        <v>0</v>
      </c>
      <c r="AU54" t="e">
        <f ca="1">MATCH("*",OFFSET(AT$2,AU53,0):AT$77,0)+AU53</f>
        <v>#N/A</v>
      </c>
      <c r="AV54" t="str">
        <f ca="1" t="shared" si="0"/>
        <v>^</v>
      </c>
    </row>
    <row r="55" spans="12:48" ht="12.75">
      <c r="L55" t="s">
        <v>579</v>
      </c>
      <c r="M55" t="s">
        <v>523</v>
      </c>
      <c r="N55" t="b">
        <f>OR(Feats!$H$138&gt;0,Begin!$I$83=L55,Classes!C9&gt;0)</f>
        <v>0</v>
      </c>
      <c r="O55" t="s">
        <v>527</v>
      </c>
      <c r="P55" t="s">
        <v>488</v>
      </c>
      <c r="Q55" t="s">
        <v>524</v>
      </c>
      <c r="R55" t="s">
        <v>518</v>
      </c>
      <c r="S55">
        <v>2</v>
      </c>
      <c r="AT55" t="b">
        <f>IF(X18,V18)</f>
        <v>0</v>
      </c>
      <c r="AU55" t="e">
        <f ca="1">MATCH("*",OFFSET(AT$2,AU54,0):AT$77,0)+AU54</f>
        <v>#N/A</v>
      </c>
      <c r="AV55" t="str">
        <f ca="1" t="shared" si="0"/>
        <v>^</v>
      </c>
    </row>
    <row r="56" spans="12:48" ht="12.75">
      <c r="L56" t="s">
        <v>580</v>
      </c>
      <c r="M56" t="s">
        <v>523</v>
      </c>
      <c r="N56" t="b">
        <f>OR(Feats!$H$138&gt;0,Begin!$I$83=L56,Classes!C9&gt;0)</f>
        <v>0</v>
      </c>
      <c r="O56" t="s">
        <v>530</v>
      </c>
      <c r="P56" t="s">
        <v>489</v>
      </c>
      <c r="Q56" t="s">
        <v>521</v>
      </c>
      <c r="R56" t="s">
        <v>551</v>
      </c>
      <c r="S56">
        <v>6</v>
      </c>
      <c r="AT56" t="b">
        <f>IF(N48,L48)</f>
        <v>0</v>
      </c>
      <c r="AU56" t="e">
        <f ca="1">MATCH("*",OFFSET(AT$2,AU55,0):AT$77,0)+AU55</f>
        <v>#N/A</v>
      </c>
      <c r="AV56" t="str">
        <f ca="1" t="shared" si="0"/>
        <v>^</v>
      </c>
    </row>
    <row r="57" spans="12:48" ht="12.75">
      <c r="L57" t="s">
        <v>581</v>
      </c>
      <c r="M57" t="s">
        <v>520</v>
      </c>
      <c r="N57" t="b">
        <f>OR(Feats!$H$114="All",COUNTIF(Feats!C$164:C$181,L57))</f>
        <v>0</v>
      </c>
      <c r="O57" t="s">
        <v>527</v>
      </c>
      <c r="P57" t="s">
        <v>488</v>
      </c>
      <c r="Q57" t="s">
        <v>524</v>
      </c>
      <c r="R57" t="s">
        <v>551</v>
      </c>
      <c r="AT57" t="b">
        <f>IF(N49,L49)</f>
        <v>0</v>
      </c>
      <c r="AU57" t="e">
        <f ca="1">MATCH("*",OFFSET(AT$2,AU56,0):AT$77,0)+AU56</f>
        <v>#N/A</v>
      </c>
      <c r="AV57" t="str">
        <f ca="1" t="shared" si="0"/>
        <v>^</v>
      </c>
    </row>
    <row r="58" spans="12:48" ht="12.75">
      <c r="L58" t="s">
        <v>582</v>
      </c>
      <c r="M58" t="s">
        <v>515</v>
      </c>
      <c r="N58" t="b">
        <f>COUNTIF(Feats!A$164:A$181,L58)&gt;0</f>
        <v>0</v>
      </c>
      <c r="O58" t="s">
        <v>530</v>
      </c>
      <c r="P58" t="s">
        <v>493</v>
      </c>
      <c r="Q58" t="s">
        <v>524</v>
      </c>
      <c r="R58" t="s">
        <v>551</v>
      </c>
      <c r="S58">
        <v>10</v>
      </c>
      <c r="T58" t="s">
        <v>538</v>
      </c>
      <c r="AT58" t="b">
        <f>IF(N50,L50)</f>
        <v>0</v>
      </c>
      <c r="AU58" t="e">
        <f ca="1">MATCH("*",OFFSET(AT$2,AU57,0):AT$77,0)+AU57</f>
        <v>#N/A</v>
      </c>
      <c r="AV58" t="str">
        <f ca="1" t="shared" si="0"/>
        <v>^</v>
      </c>
    </row>
    <row r="59" spans="12:48" ht="12.75">
      <c r="L59" t="s">
        <v>583</v>
      </c>
      <c r="M59" t="s">
        <v>523</v>
      </c>
      <c r="N59" t="b">
        <f>OR(Feats!$H$138&gt;0,Begin!$I$83=L59)</f>
        <v>0</v>
      </c>
      <c r="O59" t="s">
        <v>527</v>
      </c>
      <c r="P59" t="s">
        <v>487</v>
      </c>
      <c r="Q59" t="s">
        <v>524</v>
      </c>
      <c r="R59" t="s">
        <v>551</v>
      </c>
      <c r="S59">
        <v>1</v>
      </c>
      <c r="AT59" t="b">
        <f>IF(N51,L51)</f>
        <v>0</v>
      </c>
      <c r="AU59" t="e">
        <f ca="1">MATCH("*",OFFSET(AT$2,AU58,0):AT$77,0)+AU58</f>
        <v>#N/A</v>
      </c>
      <c r="AV59" t="str">
        <f ca="1" t="shared" si="0"/>
        <v>^</v>
      </c>
    </row>
    <row r="60" spans="12:48" ht="12.75">
      <c r="L60" t="s">
        <v>584</v>
      </c>
      <c r="M60" t="s">
        <v>520</v>
      </c>
      <c r="N60" t="b">
        <f>OR(Feats!$H$114="All",COUNTIF(Feats!C$164:C$181,L60))</f>
        <v>0</v>
      </c>
      <c r="O60" t="s">
        <v>527</v>
      </c>
      <c r="P60" t="s">
        <v>488</v>
      </c>
      <c r="Q60" t="s">
        <v>524</v>
      </c>
      <c r="R60" t="s">
        <v>518</v>
      </c>
      <c r="S60">
        <v>2</v>
      </c>
      <c r="AT60" t="b">
        <f>IF(N52,L52)</f>
        <v>0</v>
      </c>
      <c r="AU60" t="e">
        <f ca="1">MATCH("*",OFFSET(AT$2,AU59,0):AT$77,0)+AU59</f>
        <v>#N/A</v>
      </c>
      <c r="AV60" t="str">
        <f ca="1" t="shared" si="0"/>
        <v>^</v>
      </c>
    </row>
    <row r="61" spans="12:48" ht="12.75">
      <c r="L61" t="s">
        <v>637</v>
      </c>
      <c r="M61" t="s">
        <v>523</v>
      </c>
      <c r="N61" t="b">
        <v>1</v>
      </c>
      <c r="O61" t="s">
        <v>536</v>
      </c>
      <c r="P61" t="s">
        <v>476</v>
      </c>
      <c r="Q61" t="s">
        <v>476</v>
      </c>
      <c r="AT61" t="b">
        <f>IF(X20,V20)</f>
        <v>0</v>
      </c>
      <c r="AU61" t="e">
        <f ca="1">MATCH("*",OFFSET(AT$2,AU60,0):AT$77,0)+AU60</f>
        <v>#N/A</v>
      </c>
      <c r="AV61" t="str">
        <f ca="1" t="shared" si="0"/>
        <v>^</v>
      </c>
    </row>
    <row r="62" spans="12:48" ht="12.75">
      <c r="L62" t="s">
        <v>585</v>
      </c>
      <c r="M62" t="s">
        <v>520</v>
      </c>
      <c r="N62" t="b">
        <f>OR(Feats!$H$114="All",COUNTIF(Feats!C$164:C$181,L62))</f>
        <v>0</v>
      </c>
      <c r="O62" t="s">
        <v>516</v>
      </c>
      <c r="P62" t="s">
        <v>489</v>
      </c>
      <c r="Q62" t="s">
        <v>524</v>
      </c>
      <c r="R62" t="s">
        <v>551</v>
      </c>
      <c r="S62">
        <v>4</v>
      </c>
      <c r="AT62" t="b">
        <f>IF(N53,L53)</f>
        <v>0</v>
      </c>
      <c r="AU62" t="e">
        <f ca="1">MATCH("*",OFFSET(AT$2,AU61,0):AT$77,0)+AU61</f>
        <v>#N/A</v>
      </c>
      <c r="AV62" t="str">
        <f ca="1" t="shared" si="0"/>
        <v>^</v>
      </c>
    </row>
    <row r="63" spans="12:48" ht="12.75">
      <c r="L63" t="s">
        <v>586</v>
      </c>
      <c r="M63" t="s">
        <v>515</v>
      </c>
      <c r="N63" t="b">
        <f>COUNTIF(Feats!A$164:A$181,L63)&gt;0</f>
        <v>0</v>
      </c>
      <c r="O63" t="s">
        <v>531</v>
      </c>
      <c r="P63" t="s">
        <v>489</v>
      </c>
      <c r="Q63" t="s">
        <v>517</v>
      </c>
      <c r="R63" t="s">
        <v>518</v>
      </c>
      <c r="S63">
        <v>10</v>
      </c>
      <c r="T63" t="s">
        <v>586</v>
      </c>
      <c r="AT63" t="b">
        <f>IF(X22,V22)</f>
        <v>0</v>
      </c>
      <c r="AU63" t="e">
        <f ca="1">MATCH("*",OFFSET(AT$2,AU62,0):AT$77,0)+AU62</f>
        <v>#N/A</v>
      </c>
      <c r="AV63" t="str">
        <f ca="1" t="shared" si="0"/>
        <v>^</v>
      </c>
    </row>
    <row r="64" spans="12:48" ht="12.75">
      <c r="L64" t="s">
        <v>587</v>
      </c>
      <c r="M64" t="s">
        <v>523</v>
      </c>
      <c r="N64" t="b">
        <v>1</v>
      </c>
      <c r="O64" t="s">
        <v>536</v>
      </c>
      <c r="P64" t="str">
        <f>IF(Classes!C12&gt;0,LOOKUP(Classes!C12,Combat!AK3:AK22,Combat!AL3:AL22),"1d3")</f>
        <v>1d3</v>
      </c>
      <c r="Q64" t="s">
        <v>524</v>
      </c>
      <c r="R64" t="s">
        <v>525</v>
      </c>
      <c r="T64" t="str">
        <f>IF(Classes!C12&gt;0,"","nonlethal")</f>
        <v>nonlethal</v>
      </c>
      <c r="AT64" t="b">
        <f>IF(N54,L54)</f>
        <v>0</v>
      </c>
      <c r="AU64" t="e">
        <f ca="1">MATCH("*",OFFSET(AT$2,AU63,0):AT$77,0)+AU63</f>
        <v>#N/A</v>
      </c>
      <c r="AV64" t="str">
        <f ca="1" t="shared" si="0"/>
        <v>^</v>
      </c>
    </row>
    <row r="65" spans="12:48" ht="12.75">
      <c r="L65" t="s">
        <v>588</v>
      </c>
      <c r="M65" t="s">
        <v>520</v>
      </c>
      <c r="N65" t="b">
        <f>OR(Feats!$H$114="All",COUNTIF(Feats!C$164:C$181,L65))</f>
        <v>0</v>
      </c>
      <c r="O65" t="s">
        <v>516</v>
      </c>
      <c r="P65" t="s">
        <v>489</v>
      </c>
      <c r="Q65" t="s">
        <v>521</v>
      </c>
      <c r="R65" t="s">
        <v>525</v>
      </c>
      <c r="S65">
        <v>5</v>
      </c>
      <c r="AT65" t="b">
        <f>IF(N55,L55)</f>
        <v>0</v>
      </c>
      <c r="AU65" t="e">
        <f ca="1">MATCH("*",OFFSET(AT$2,AU64,0):AT$77,0)+AU64</f>
        <v>#N/A</v>
      </c>
      <c r="AV65" t="str">
        <f ca="1" t="shared" si="0"/>
        <v>^</v>
      </c>
    </row>
    <row r="66" spans="12:48" ht="12.75">
      <c r="L66" t="s">
        <v>589</v>
      </c>
      <c r="M66" t="s">
        <v>515</v>
      </c>
      <c r="N66" t="b">
        <f>OR(COUNTIF(Feats!A$164:A$181,L66)&gt;0,Classes!C6&gt;0)</f>
        <v>0</v>
      </c>
      <c r="O66" t="s">
        <v>516</v>
      </c>
      <c r="P66" t="s">
        <v>486</v>
      </c>
      <c r="Q66" t="s">
        <v>524</v>
      </c>
      <c r="R66" t="s">
        <v>518</v>
      </c>
      <c r="S66">
        <v>2</v>
      </c>
      <c r="T66" t="s">
        <v>590</v>
      </c>
      <c r="AT66" t="b">
        <f>IF(X23,V23)</f>
        <v>0</v>
      </c>
      <c r="AU66" t="e">
        <f ca="1">MATCH("*",OFFSET(AT$2,AU65,0):AT$77,0)+AU65</f>
        <v>#N/A</v>
      </c>
      <c r="AV66" t="str">
        <f ca="1" t="shared" si="0"/>
        <v>^</v>
      </c>
    </row>
    <row r="67" spans="46:48" ht="12.75">
      <c r="AT67" t="b">
        <f aca="true" t="shared" si="4" ref="AT67:AT77">IF(N56,L56)</f>
        <v>0</v>
      </c>
      <c r="AU67" t="e">
        <f ca="1">MATCH("*",OFFSET(AT$2,AU66,0):AT$77,0)+AU66</f>
        <v>#N/A</v>
      </c>
      <c r="AV67" t="str">
        <f aca="true" ca="1" t="shared" si="5" ref="AV67:AV76">IF(ISNA(AU67),"^",IF(AU67&gt;78,"^",OFFSET(AT$1,AU67,0)))</f>
        <v>^</v>
      </c>
    </row>
    <row r="68" spans="46:48" ht="12.75">
      <c r="AT68" t="b">
        <f t="shared" si="4"/>
        <v>0</v>
      </c>
      <c r="AU68" t="e">
        <f ca="1">MATCH("*",OFFSET(AT$2,AU67,0):AT$77,0)+AU67</f>
        <v>#N/A</v>
      </c>
      <c r="AV68" t="str">
        <f ca="1" t="shared" si="5"/>
        <v>^</v>
      </c>
    </row>
    <row r="69" spans="46:48" ht="12.75">
      <c r="AT69" t="b">
        <f t="shared" si="4"/>
        <v>0</v>
      </c>
      <c r="AU69" t="e">
        <f ca="1">MATCH("*",OFFSET(AT$2,AU68,0):AT$77,0)+AU68</f>
        <v>#N/A</v>
      </c>
      <c r="AV69" t="str">
        <f ca="1" t="shared" si="5"/>
        <v>^</v>
      </c>
    </row>
    <row r="70" spans="46:48" ht="12.75">
      <c r="AT70" t="b">
        <f t="shared" si="4"/>
        <v>0</v>
      </c>
      <c r="AU70" t="e">
        <f ca="1">MATCH("*",OFFSET(AT$2,AU69,0):AT$77,0)+AU69</f>
        <v>#N/A</v>
      </c>
      <c r="AV70" t="str">
        <f ca="1" t="shared" si="5"/>
        <v>^</v>
      </c>
    </row>
    <row r="71" spans="46:48" ht="12.75">
      <c r="AT71" t="b">
        <f t="shared" si="4"/>
        <v>0</v>
      </c>
      <c r="AU71" t="e">
        <f ca="1">MATCH("*",OFFSET(AT$2,AU70,0):AT$77,0)+AU70</f>
        <v>#N/A</v>
      </c>
      <c r="AV71" t="str">
        <f ca="1" t="shared" si="5"/>
        <v>^</v>
      </c>
    </row>
    <row r="72" spans="46:48" ht="12.75">
      <c r="AT72" t="str">
        <f t="shared" si="4"/>
        <v>Touch attack</v>
      </c>
      <c r="AU72" t="e">
        <f ca="1">MATCH("*",OFFSET(AT$2,AU71,0):AT$77,0)+AU71</f>
        <v>#N/A</v>
      </c>
      <c r="AV72" t="str">
        <f ca="1" t="shared" si="5"/>
        <v>^</v>
      </c>
    </row>
    <row r="73" spans="46:48" ht="12.75">
      <c r="AT73" t="b">
        <f t="shared" si="4"/>
        <v>0</v>
      </c>
      <c r="AU73" t="e">
        <f ca="1">MATCH("*",OFFSET(AT$2,AU72,0):AT$77,0)+AU72</f>
        <v>#N/A</v>
      </c>
      <c r="AV73" t="str">
        <f ca="1" t="shared" si="5"/>
        <v>^</v>
      </c>
    </row>
    <row r="74" spans="46:48" ht="12.75">
      <c r="AT74" t="b">
        <f t="shared" si="4"/>
        <v>0</v>
      </c>
      <c r="AU74" t="e">
        <f ca="1">MATCH("*",OFFSET(AT$2,AU73,0):AT$77,0)+AU73</f>
        <v>#N/A</v>
      </c>
      <c r="AV74" t="str">
        <f ca="1" t="shared" si="5"/>
        <v>^</v>
      </c>
    </row>
    <row r="75" spans="46:48" ht="12.75">
      <c r="AT75" t="str">
        <f t="shared" si="4"/>
        <v>Unarmed strike</v>
      </c>
      <c r="AU75" t="e">
        <f ca="1">MATCH("*",OFFSET(AT$2,AU74,0):AT$77,0)+AU74</f>
        <v>#N/A</v>
      </c>
      <c r="AV75" t="str">
        <f ca="1" t="shared" si="5"/>
        <v>^</v>
      </c>
    </row>
    <row r="76" spans="46:48" ht="12.75">
      <c r="AT76" t="b">
        <f t="shared" si="4"/>
        <v>0</v>
      </c>
      <c r="AU76" t="e">
        <f ca="1">MATCH("*",OFFSET(AT$2,AU75,0):AT$77,0)+AU75</f>
        <v>#N/A</v>
      </c>
      <c r="AV76" t="str">
        <f ca="1" t="shared" si="5"/>
        <v>^</v>
      </c>
    </row>
    <row r="77" ht="12.75">
      <c r="AT77" t="b">
        <f t="shared" si="4"/>
        <v>0</v>
      </c>
    </row>
  </sheetData>
  <sheetProtection sheet="1" objects="1" scenarios="1"/>
  <mergeCells count="9">
    <mergeCell ref="AT1:AV1"/>
    <mergeCell ref="AN1:AQ1"/>
    <mergeCell ref="V1:AF1"/>
    <mergeCell ref="AH1:AI1"/>
    <mergeCell ref="AK1:AL1"/>
    <mergeCell ref="A1:J1"/>
    <mergeCell ref="A16:G16"/>
    <mergeCell ref="A25:J25"/>
    <mergeCell ref="L1:T1"/>
  </mergeCells>
  <printOptions/>
  <pageMargins left="0.75" right="0.75" top="1" bottom="1" header="0.5" footer="0.5"/>
  <pageSetup horizontalDpi="200" verticalDpi="200" orientation="portrait" r:id="rId1"/>
</worksheet>
</file>

<file path=xl/worksheets/sheet9.xml><?xml version="1.0" encoding="utf-8"?>
<worksheet xmlns="http://schemas.openxmlformats.org/spreadsheetml/2006/main" xmlns:r="http://schemas.openxmlformats.org/officeDocument/2006/relationships">
  <dimension ref="A1:W144"/>
  <sheetViews>
    <sheetView workbookViewId="0" topLeftCell="A1">
      <selection activeCell="A1" sqref="A1"/>
    </sheetView>
  </sheetViews>
  <sheetFormatPr defaultColWidth="9.140625" defaultRowHeight="12.75"/>
  <cols>
    <col min="1" max="16384" width="9.140625" style="53" customWidth="1"/>
  </cols>
  <sheetData>
    <row r="1" spans="2:13" ht="12.75">
      <c r="B1" s="248" t="s">
        <v>625</v>
      </c>
      <c r="C1" s="248"/>
      <c r="D1" s="248"/>
      <c r="E1" s="248"/>
      <c r="F1" s="248"/>
      <c r="G1" s="248"/>
      <c r="H1" s="248"/>
      <c r="I1" s="248"/>
      <c r="J1" s="248"/>
      <c r="K1" s="248"/>
      <c r="M1" s="53" t="s">
        <v>634</v>
      </c>
    </row>
    <row r="2" spans="2:13" ht="12.75">
      <c r="B2" s="54"/>
      <c r="C2" s="54"/>
      <c r="D2" s="54"/>
      <c r="E2" s="54"/>
      <c r="F2" s="54"/>
      <c r="G2" s="54"/>
      <c r="H2" s="54"/>
      <c r="I2" s="54"/>
      <c r="J2" s="54"/>
      <c r="K2" s="54"/>
      <c r="M2" s="53">
        <f>MAX(Begin!F34,Begin!C77,Begin!I77)</f>
        <v>0</v>
      </c>
    </row>
    <row r="3" spans="2:13" ht="12.75">
      <c r="B3" s="8">
        <v>0</v>
      </c>
      <c r="C3" s="8">
        <v>1</v>
      </c>
      <c r="D3" s="8">
        <v>2</v>
      </c>
      <c r="E3" s="8">
        <v>3</v>
      </c>
      <c r="F3" s="8">
        <v>4</v>
      </c>
      <c r="G3" s="8">
        <v>5</v>
      </c>
      <c r="H3" s="8">
        <v>6</v>
      </c>
      <c r="I3" s="8">
        <v>7</v>
      </c>
      <c r="J3" s="8">
        <v>8</v>
      </c>
      <c r="K3" s="8">
        <v>9</v>
      </c>
      <c r="L3" s="54"/>
      <c r="M3" s="53" t="s">
        <v>635</v>
      </c>
    </row>
    <row r="4" spans="1:13" ht="12.75">
      <c r="A4" s="53">
        <v>0</v>
      </c>
      <c r="B4" s="54" t="s">
        <v>476</v>
      </c>
      <c r="C4" s="54" t="s">
        <v>476</v>
      </c>
      <c r="D4" s="54" t="s">
        <v>476</v>
      </c>
      <c r="E4" s="54" t="s">
        <v>476</v>
      </c>
      <c r="F4" s="54" t="s">
        <v>476</v>
      </c>
      <c r="G4" s="54" t="s">
        <v>476</v>
      </c>
      <c r="H4" s="54" t="s">
        <v>476</v>
      </c>
      <c r="I4" s="54" t="s">
        <v>476</v>
      </c>
      <c r="J4" s="54" t="s">
        <v>476</v>
      </c>
      <c r="K4" s="54" t="s">
        <v>476</v>
      </c>
      <c r="L4" s="54"/>
      <c r="M4" s="53">
        <f>MAX(Begin!I34,Begin!C47,IF(Begin!C65&gt;3,TRUNC(Begin!C65/2),0),IF(Begin!F65&gt;3,TRUNC(Begin!F65/2),0))</f>
        <v>0</v>
      </c>
    </row>
    <row r="5" spans="1:13" ht="12.75">
      <c r="A5" s="53">
        <v>1</v>
      </c>
      <c r="B5" s="53">
        <v>3</v>
      </c>
      <c r="C5" s="54">
        <v>1</v>
      </c>
      <c r="D5" s="54" t="s">
        <v>476</v>
      </c>
      <c r="E5" s="54" t="s">
        <v>476</v>
      </c>
      <c r="F5" s="54" t="s">
        <v>476</v>
      </c>
      <c r="G5" s="54" t="s">
        <v>476</v>
      </c>
      <c r="H5" s="54" t="s">
        <v>476</v>
      </c>
      <c r="I5" s="54" t="s">
        <v>476</v>
      </c>
      <c r="J5" s="54" t="s">
        <v>476</v>
      </c>
      <c r="K5" s="54" t="s">
        <v>476</v>
      </c>
      <c r="M5" s="53" t="s">
        <v>636</v>
      </c>
    </row>
    <row r="6" spans="1:13" ht="12.75">
      <c r="A6" s="53">
        <v>2</v>
      </c>
      <c r="B6" s="53">
        <v>4</v>
      </c>
      <c r="C6" s="54">
        <v>2</v>
      </c>
      <c r="D6" s="54" t="s">
        <v>476</v>
      </c>
      <c r="E6" s="54" t="s">
        <v>476</v>
      </c>
      <c r="F6" s="54" t="s">
        <v>476</v>
      </c>
      <c r="G6" s="54" t="s">
        <v>476</v>
      </c>
      <c r="H6" s="54" t="s">
        <v>476</v>
      </c>
      <c r="I6" s="54" t="s">
        <v>476</v>
      </c>
      <c r="J6" s="54" t="s">
        <v>476</v>
      </c>
      <c r="K6" s="54" t="s">
        <v>476</v>
      </c>
      <c r="M6" s="53">
        <f>MAX(M2,M4)</f>
        <v>0</v>
      </c>
    </row>
    <row r="7" spans="1:11" ht="12.75">
      <c r="A7" s="54">
        <v>3</v>
      </c>
      <c r="B7" s="53">
        <v>4</v>
      </c>
      <c r="C7" s="54">
        <v>2</v>
      </c>
      <c r="D7" s="54">
        <v>1</v>
      </c>
      <c r="E7" s="54" t="s">
        <v>476</v>
      </c>
      <c r="F7" s="54" t="s">
        <v>476</v>
      </c>
      <c r="G7" s="54" t="s">
        <v>476</v>
      </c>
      <c r="H7" s="54" t="s">
        <v>476</v>
      </c>
      <c r="I7" s="54" t="s">
        <v>476</v>
      </c>
      <c r="J7" s="54" t="s">
        <v>476</v>
      </c>
      <c r="K7" s="54" t="s">
        <v>476</v>
      </c>
    </row>
    <row r="8" spans="1:11" ht="12.75">
      <c r="A8" s="54">
        <v>4</v>
      </c>
      <c r="B8" s="53">
        <v>4</v>
      </c>
      <c r="C8" s="54">
        <v>3</v>
      </c>
      <c r="D8" s="54">
        <v>2</v>
      </c>
      <c r="E8" s="54" t="s">
        <v>476</v>
      </c>
      <c r="F8" s="54" t="s">
        <v>476</v>
      </c>
      <c r="G8" s="54" t="s">
        <v>476</v>
      </c>
      <c r="H8" s="54" t="s">
        <v>476</v>
      </c>
      <c r="I8" s="54" t="s">
        <v>476</v>
      </c>
      <c r="J8" s="54" t="s">
        <v>476</v>
      </c>
      <c r="K8" s="54" t="s">
        <v>476</v>
      </c>
    </row>
    <row r="9" spans="1:11" ht="12.75">
      <c r="A9" s="54">
        <v>5</v>
      </c>
      <c r="B9" s="53">
        <v>4</v>
      </c>
      <c r="C9" s="54">
        <v>3</v>
      </c>
      <c r="D9" s="54">
        <v>2</v>
      </c>
      <c r="E9" s="54">
        <v>1</v>
      </c>
      <c r="F9" s="54" t="s">
        <v>476</v>
      </c>
      <c r="G9" s="54" t="s">
        <v>476</v>
      </c>
      <c r="H9" s="54" t="s">
        <v>476</v>
      </c>
      <c r="I9" s="54" t="s">
        <v>476</v>
      </c>
      <c r="J9" s="54" t="s">
        <v>476</v>
      </c>
      <c r="K9" s="54" t="s">
        <v>476</v>
      </c>
    </row>
    <row r="10" spans="1:11" ht="12.75">
      <c r="A10" s="54">
        <v>6</v>
      </c>
      <c r="B10" s="53">
        <v>4</v>
      </c>
      <c r="C10" s="54">
        <v>3</v>
      </c>
      <c r="D10" s="54">
        <v>3</v>
      </c>
      <c r="E10" s="54">
        <v>2</v>
      </c>
      <c r="F10" s="54" t="s">
        <v>476</v>
      </c>
      <c r="G10" s="54" t="s">
        <v>476</v>
      </c>
      <c r="H10" s="54" t="s">
        <v>476</v>
      </c>
      <c r="I10" s="54" t="s">
        <v>476</v>
      </c>
      <c r="J10" s="54" t="s">
        <v>476</v>
      </c>
      <c r="K10" s="54" t="s">
        <v>476</v>
      </c>
    </row>
    <row r="11" spans="1:11" ht="12.75">
      <c r="A11" s="54">
        <v>7</v>
      </c>
      <c r="B11" s="53">
        <v>4</v>
      </c>
      <c r="C11" s="54">
        <v>4</v>
      </c>
      <c r="D11" s="54">
        <v>3</v>
      </c>
      <c r="E11" s="54">
        <v>2</v>
      </c>
      <c r="F11" s="54">
        <v>1</v>
      </c>
      <c r="G11" s="54" t="s">
        <v>476</v>
      </c>
      <c r="H11" s="54" t="s">
        <v>476</v>
      </c>
      <c r="I11" s="54" t="s">
        <v>476</v>
      </c>
      <c r="J11" s="54" t="s">
        <v>476</v>
      </c>
      <c r="K11" s="54" t="s">
        <v>476</v>
      </c>
    </row>
    <row r="12" spans="1:11" ht="12.75">
      <c r="A12" s="54">
        <v>8</v>
      </c>
      <c r="B12" s="53">
        <v>4</v>
      </c>
      <c r="C12" s="54">
        <v>4</v>
      </c>
      <c r="D12" s="54">
        <v>3</v>
      </c>
      <c r="E12" s="54">
        <v>3</v>
      </c>
      <c r="F12" s="54">
        <v>2</v>
      </c>
      <c r="G12" s="54" t="s">
        <v>476</v>
      </c>
      <c r="H12" s="54" t="s">
        <v>476</v>
      </c>
      <c r="I12" s="54" t="s">
        <v>476</v>
      </c>
      <c r="J12" s="54" t="s">
        <v>476</v>
      </c>
      <c r="K12" s="54" t="s">
        <v>476</v>
      </c>
    </row>
    <row r="13" spans="1:11" ht="12.75">
      <c r="A13" s="54">
        <v>9</v>
      </c>
      <c r="B13" s="53">
        <v>4</v>
      </c>
      <c r="C13" s="54">
        <v>4</v>
      </c>
      <c r="D13" s="54">
        <v>4</v>
      </c>
      <c r="E13" s="54">
        <v>3</v>
      </c>
      <c r="F13" s="54">
        <v>2</v>
      </c>
      <c r="G13" s="54">
        <v>1</v>
      </c>
      <c r="H13" s="54" t="s">
        <v>476</v>
      </c>
      <c r="I13" s="54" t="s">
        <v>476</v>
      </c>
      <c r="J13" s="54" t="s">
        <v>476</v>
      </c>
      <c r="K13" s="54" t="s">
        <v>476</v>
      </c>
    </row>
    <row r="14" spans="1:11" ht="12.75">
      <c r="A14" s="54">
        <v>10</v>
      </c>
      <c r="B14" s="53">
        <v>4</v>
      </c>
      <c r="C14" s="54">
        <v>4</v>
      </c>
      <c r="D14" s="54">
        <v>4</v>
      </c>
      <c r="E14" s="54">
        <v>3</v>
      </c>
      <c r="F14" s="54">
        <v>3</v>
      </c>
      <c r="G14" s="54">
        <v>2</v>
      </c>
      <c r="H14" s="54" t="s">
        <v>476</v>
      </c>
      <c r="I14" s="54" t="s">
        <v>476</v>
      </c>
      <c r="J14" s="54" t="s">
        <v>476</v>
      </c>
      <c r="K14" s="54" t="s">
        <v>476</v>
      </c>
    </row>
    <row r="15" spans="1:11" ht="12.75">
      <c r="A15" s="54">
        <v>11</v>
      </c>
      <c r="B15" s="53">
        <v>4</v>
      </c>
      <c r="C15" s="54">
        <v>4</v>
      </c>
      <c r="D15" s="54">
        <v>4</v>
      </c>
      <c r="E15" s="54">
        <v>4</v>
      </c>
      <c r="F15" s="54">
        <v>3</v>
      </c>
      <c r="G15" s="54">
        <v>2</v>
      </c>
      <c r="H15" s="54">
        <v>1</v>
      </c>
      <c r="I15" s="54" t="s">
        <v>476</v>
      </c>
      <c r="J15" s="54" t="s">
        <v>476</v>
      </c>
      <c r="K15" s="54" t="s">
        <v>476</v>
      </c>
    </row>
    <row r="16" spans="1:11" ht="12.75">
      <c r="A16" s="54">
        <v>12</v>
      </c>
      <c r="B16" s="53">
        <v>4</v>
      </c>
      <c r="C16" s="54">
        <v>4</v>
      </c>
      <c r="D16" s="54">
        <v>4</v>
      </c>
      <c r="E16" s="54">
        <v>4</v>
      </c>
      <c r="F16" s="54">
        <v>3</v>
      </c>
      <c r="G16" s="54">
        <v>3</v>
      </c>
      <c r="H16" s="54">
        <v>2</v>
      </c>
      <c r="I16" s="54" t="s">
        <v>476</v>
      </c>
      <c r="J16" s="54" t="s">
        <v>476</v>
      </c>
      <c r="K16" s="54" t="s">
        <v>476</v>
      </c>
    </row>
    <row r="17" spans="1:11" ht="12.75">
      <c r="A17" s="54">
        <v>13</v>
      </c>
      <c r="B17" s="53">
        <v>4</v>
      </c>
      <c r="C17" s="54">
        <v>4</v>
      </c>
      <c r="D17" s="54">
        <v>4</v>
      </c>
      <c r="E17" s="54">
        <v>4</v>
      </c>
      <c r="F17" s="54">
        <v>4</v>
      </c>
      <c r="G17" s="54">
        <v>3</v>
      </c>
      <c r="H17" s="54">
        <v>2</v>
      </c>
      <c r="I17" s="54">
        <v>1</v>
      </c>
      <c r="J17" s="54" t="s">
        <v>476</v>
      </c>
      <c r="K17" s="54" t="s">
        <v>476</v>
      </c>
    </row>
    <row r="18" spans="1:11" ht="12.75">
      <c r="A18" s="54">
        <v>14</v>
      </c>
      <c r="B18" s="53">
        <v>4</v>
      </c>
      <c r="C18" s="54">
        <v>4</v>
      </c>
      <c r="D18" s="54">
        <v>4</v>
      </c>
      <c r="E18" s="54">
        <v>4</v>
      </c>
      <c r="F18" s="54">
        <v>4</v>
      </c>
      <c r="G18" s="54">
        <v>3</v>
      </c>
      <c r="H18" s="54">
        <v>3</v>
      </c>
      <c r="I18" s="54">
        <v>2</v>
      </c>
      <c r="J18" s="54" t="s">
        <v>476</v>
      </c>
      <c r="K18" s="54" t="s">
        <v>476</v>
      </c>
    </row>
    <row r="19" spans="1:11" ht="12.75">
      <c r="A19" s="54">
        <v>15</v>
      </c>
      <c r="B19" s="53">
        <v>4</v>
      </c>
      <c r="C19" s="54">
        <v>4</v>
      </c>
      <c r="D19" s="54">
        <v>4</v>
      </c>
      <c r="E19" s="54">
        <v>4</v>
      </c>
      <c r="F19" s="54">
        <v>4</v>
      </c>
      <c r="G19" s="54">
        <v>4</v>
      </c>
      <c r="H19" s="54">
        <v>3</v>
      </c>
      <c r="I19" s="54">
        <v>2</v>
      </c>
      <c r="J19" s="54">
        <v>1</v>
      </c>
      <c r="K19" s="54" t="s">
        <v>476</v>
      </c>
    </row>
    <row r="20" spans="1:11" ht="12.75">
      <c r="A20" s="54">
        <v>16</v>
      </c>
      <c r="B20" s="53">
        <v>4</v>
      </c>
      <c r="C20" s="54">
        <v>4</v>
      </c>
      <c r="D20" s="54">
        <v>4</v>
      </c>
      <c r="E20" s="54">
        <v>4</v>
      </c>
      <c r="F20" s="54">
        <v>4</v>
      </c>
      <c r="G20" s="54">
        <v>4</v>
      </c>
      <c r="H20" s="54">
        <v>3</v>
      </c>
      <c r="I20" s="54">
        <v>3</v>
      </c>
      <c r="J20" s="54">
        <v>2</v>
      </c>
      <c r="K20" s="54" t="s">
        <v>476</v>
      </c>
    </row>
    <row r="21" spans="1:11" ht="12.75">
      <c r="A21" s="54">
        <v>17</v>
      </c>
      <c r="B21" s="53">
        <v>4</v>
      </c>
      <c r="C21" s="54">
        <v>4</v>
      </c>
      <c r="D21" s="54">
        <v>4</v>
      </c>
      <c r="E21" s="54">
        <v>4</v>
      </c>
      <c r="F21" s="54">
        <v>4</v>
      </c>
      <c r="G21" s="54">
        <v>4</v>
      </c>
      <c r="H21" s="54">
        <v>4</v>
      </c>
      <c r="I21" s="54">
        <v>3</v>
      </c>
      <c r="J21" s="54">
        <v>2</v>
      </c>
      <c r="K21" s="54">
        <v>1</v>
      </c>
    </row>
    <row r="22" spans="1:11" ht="12.75">
      <c r="A22" s="54">
        <v>18</v>
      </c>
      <c r="B22" s="53">
        <v>4</v>
      </c>
      <c r="C22" s="54">
        <v>4</v>
      </c>
      <c r="D22" s="54">
        <v>4</v>
      </c>
      <c r="E22" s="54">
        <v>4</v>
      </c>
      <c r="F22" s="54">
        <v>4</v>
      </c>
      <c r="G22" s="54">
        <v>4</v>
      </c>
      <c r="H22" s="54">
        <v>4</v>
      </c>
      <c r="I22" s="54">
        <v>3</v>
      </c>
      <c r="J22" s="54">
        <v>3</v>
      </c>
      <c r="K22" s="54">
        <v>2</v>
      </c>
    </row>
    <row r="23" spans="1:11" ht="12.75">
      <c r="A23" s="54">
        <v>19</v>
      </c>
      <c r="B23" s="53">
        <v>4</v>
      </c>
      <c r="C23" s="54">
        <v>4</v>
      </c>
      <c r="D23" s="54">
        <v>4</v>
      </c>
      <c r="E23" s="54">
        <v>4</v>
      </c>
      <c r="F23" s="54">
        <v>4</v>
      </c>
      <c r="G23" s="54">
        <v>4</v>
      </c>
      <c r="H23" s="54">
        <v>4</v>
      </c>
      <c r="I23" s="54">
        <v>4</v>
      </c>
      <c r="J23" s="54">
        <v>3</v>
      </c>
      <c r="K23" s="54">
        <v>3</v>
      </c>
    </row>
    <row r="24" spans="1:11" ht="12.75">
      <c r="A24" s="54">
        <v>20</v>
      </c>
      <c r="B24" s="53">
        <v>4</v>
      </c>
      <c r="C24" s="54">
        <v>4</v>
      </c>
      <c r="D24" s="54">
        <v>4</v>
      </c>
      <c r="E24" s="54">
        <v>4</v>
      </c>
      <c r="F24" s="54">
        <v>4</v>
      </c>
      <c r="G24" s="54">
        <v>4</v>
      </c>
      <c r="H24" s="54">
        <v>4</v>
      </c>
      <c r="I24" s="54">
        <v>4</v>
      </c>
      <c r="J24" s="54">
        <v>4</v>
      </c>
      <c r="K24" s="54">
        <v>4</v>
      </c>
    </row>
    <row r="25" spans="1:11" ht="12.75">
      <c r="A25" s="54"/>
      <c r="B25" s="54"/>
      <c r="C25" s="54"/>
      <c r="D25" s="54"/>
      <c r="E25" s="54"/>
      <c r="F25" s="54"/>
      <c r="G25" s="54"/>
      <c r="H25" s="54"/>
      <c r="I25" s="54"/>
      <c r="J25" s="54" t="s">
        <v>104</v>
      </c>
      <c r="K25" s="54" t="s">
        <v>104</v>
      </c>
    </row>
    <row r="26" spans="2:23" ht="12.75">
      <c r="B26" s="248" t="s">
        <v>626</v>
      </c>
      <c r="C26" s="248"/>
      <c r="D26" s="248"/>
      <c r="E26" s="248"/>
      <c r="F26" s="248"/>
      <c r="G26" s="248"/>
      <c r="H26" s="248"/>
      <c r="I26" s="248"/>
      <c r="J26" s="248"/>
      <c r="K26" s="248"/>
      <c r="N26" s="248" t="s">
        <v>627</v>
      </c>
      <c r="O26" s="248"/>
      <c r="P26" s="248"/>
      <c r="Q26" s="248"/>
      <c r="R26" s="248"/>
      <c r="S26" s="248"/>
      <c r="T26" s="248"/>
      <c r="U26" s="248"/>
      <c r="V26" s="248"/>
      <c r="W26" s="248"/>
    </row>
    <row r="27" spans="1:23" ht="12.75">
      <c r="A27" s="54"/>
      <c r="B27" s="55">
        <v>0</v>
      </c>
      <c r="C27" s="55">
        <v>1</v>
      </c>
      <c r="D27" s="55">
        <v>2</v>
      </c>
      <c r="E27" s="55">
        <v>3</v>
      </c>
      <c r="F27" s="55">
        <v>4</v>
      </c>
      <c r="G27" s="55">
        <v>5</v>
      </c>
      <c r="H27" s="55">
        <v>6</v>
      </c>
      <c r="I27" s="55">
        <v>7</v>
      </c>
      <c r="J27" s="55">
        <v>8</v>
      </c>
      <c r="K27" s="55">
        <v>9</v>
      </c>
      <c r="N27" s="55">
        <v>0</v>
      </c>
      <c r="O27" s="55">
        <v>1</v>
      </c>
      <c r="P27" s="55">
        <v>2</v>
      </c>
      <c r="Q27" s="55">
        <v>3</v>
      </c>
      <c r="R27" s="55">
        <v>4</v>
      </c>
      <c r="S27" s="55">
        <v>5</v>
      </c>
      <c r="T27" s="55">
        <v>6</v>
      </c>
      <c r="U27" s="55">
        <v>7</v>
      </c>
      <c r="V27" s="55">
        <v>8</v>
      </c>
      <c r="W27" s="55">
        <v>9</v>
      </c>
    </row>
    <row r="28" spans="1:23" ht="12.75">
      <c r="A28" s="54">
        <v>0</v>
      </c>
      <c r="B28" s="54" t="s">
        <v>476</v>
      </c>
      <c r="C28" s="54" t="s">
        <v>476</v>
      </c>
      <c r="D28" s="54" t="s">
        <v>476</v>
      </c>
      <c r="E28" s="54" t="s">
        <v>476</v>
      </c>
      <c r="F28" s="54" t="s">
        <v>476</v>
      </c>
      <c r="G28" s="54" t="s">
        <v>476</v>
      </c>
      <c r="H28" s="54" t="s">
        <v>476</v>
      </c>
      <c r="I28" s="54" t="s">
        <v>476</v>
      </c>
      <c r="J28" s="54" t="s">
        <v>476</v>
      </c>
      <c r="K28" s="54" t="s">
        <v>476</v>
      </c>
      <c r="M28" s="53">
        <v>0</v>
      </c>
      <c r="N28" s="53" t="s">
        <v>476</v>
      </c>
      <c r="O28" s="53" t="s">
        <v>476</v>
      </c>
      <c r="P28" s="53" t="s">
        <v>476</v>
      </c>
      <c r="Q28" s="53" t="s">
        <v>476</v>
      </c>
      <c r="R28" s="53" t="s">
        <v>476</v>
      </c>
      <c r="S28" s="53" t="s">
        <v>476</v>
      </c>
      <c r="T28" s="53" t="s">
        <v>476</v>
      </c>
      <c r="U28" s="53" t="s">
        <v>476</v>
      </c>
      <c r="V28" s="53" t="s">
        <v>476</v>
      </c>
      <c r="W28" s="53" t="s">
        <v>476</v>
      </c>
    </row>
    <row r="29" spans="1:23" ht="12.75">
      <c r="A29" s="54">
        <v>1</v>
      </c>
      <c r="B29" s="54">
        <v>5</v>
      </c>
      <c r="C29" s="54">
        <v>3</v>
      </c>
      <c r="D29" s="54" t="s">
        <v>476</v>
      </c>
      <c r="E29" s="54" t="s">
        <v>476</v>
      </c>
      <c r="F29" s="54" t="s">
        <v>476</v>
      </c>
      <c r="G29" s="54" t="s">
        <v>476</v>
      </c>
      <c r="H29" s="54" t="s">
        <v>476</v>
      </c>
      <c r="I29" s="54" t="s">
        <v>476</v>
      </c>
      <c r="J29" s="54" t="s">
        <v>476</v>
      </c>
      <c r="K29" s="54" t="s">
        <v>476</v>
      </c>
      <c r="M29" s="54">
        <v>1</v>
      </c>
      <c r="N29" s="53">
        <v>4</v>
      </c>
      <c r="O29" s="53">
        <v>2</v>
      </c>
      <c r="P29" s="53" t="s">
        <v>476</v>
      </c>
      <c r="Q29" s="53" t="s">
        <v>476</v>
      </c>
      <c r="R29" s="53" t="s">
        <v>476</v>
      </c>
      <c r="S29" s="53" t="s">
        <v>476</v>
      </c>
      <c r="T29" s="53" t="s">
        <v>476</v>
      </c>
      <c r="U29" s="53" t="s">
        <v>476</v>
      </c>
      <c r="V29" s="53" t="s">
        <v>476</v>
      </c>
      <c r="W29" s="53" t="s">
        <v>476</v>
      </c>
    </row>
    <row r="30" spans="1:23" ht="12.75">
      <c r="A30" s="54">
        <v>2</v>
      </c>
      <c r="B30" s="54">
        <v>6</v>
      </c>
      <c r="C30" s="54">
        <v>4</v>
      </c>
      <c r="D30" s="54" t="s">
        <v>476</v>
      </c>
      <c r="E30" s="54" t="s">
        <v>476</v>
      </c>
      <c r="F30" s="54" t="s">
        <v>476</v>
      </c>
      <c r="G30" s="54" t="s">
        <v>476</v>
      </c>
      <c r="H30" s="54" t="s">
        <v>476</v>
      </c>
      <c r="I30" s="54" t="s">
        <v>476</v>
      </c>
      <c r="J30" s="54" t="s">
        <v>476</v>
      </c>
      <c r="K30" s="54" t="s">
        <v>476</v>
      </c>
      <c r="M30" s="54">
        <v>2</v>
      </c>
      <c r="N30" s="53">
        <v>5</v>
      </c>
      <c r="O30" s="53">
        <v>2</v>
      </c>
      <c r="P30" s="53" t="s">
        <v>476</v>
      </c>
      <c r="Q30" s="53" t="s">
        <v>476</v>
      </c>
      <c r="R30" s="53" t="s">
        <v>476</v>
      </c>
      <c r="S30" s="53" t="s">
        <v>476</v>
      </c>
      <c r="T30" s="53" t="s">
        <v>476</v>
      </c>
      <c r="U30" s="53" t="s">
        <v>476</v>
      </c>
      <c r="V30" s="53" t="s">
        <v>476</v>
      </c>
      <c r="W30" s="53" t="s">
        <v>476</v>
      </c>
    </row>
    <row r="31" spans="1:23" ht="12.75">
      <c r="A31" s="54">
        <v>3</v>
      </c>
      <c r="B31" s="54">
        <v>6</v>
      </c>
      <c r="C31" s="54">
        <v>5</v>
      </c>
      <c r="D31" s="54" t="s">
        <v>476</v>
      </c>
      <c r="E31" s="54" t="s">
        <v>476</v>
      </c>
      <c r="F31" s="54" t="s">
        <v>476</v>
      </c>
      <c r="G31" s="54" t="s">
        <v>476</v>
      </c>
      <c r="H31" s="54" t="s">
        <v>476</v>
      </c>
      <c r="I31" s="54" t="s">
        <v>476</v>
      </c>
      <c r="J31" s="54" t="s">
        <v>476</v>
      </c>
      <c r="K31" s="54" t="s">
        <v>476</v>
      </c>
      <c r="M31" s="54">
        <v>3</v>
      </c>
      <c r="N31" s="53">
        <v>5</v>
      </c>
      <c r="O31" s="53">
        <v>3</v>
      </c>
      <c r="P31" s="53" t="s">
        <v>476</v>
      </c>
      <c r="Q31" s="53" t="s">
        <v>476</v>
      </c>
      <c r="R31" s="53" t="s">
        <v>476</v>
      </c>
      <c r="S31" s="53" t="s">
        <v>476</v>
      </c>
      <c r="T31" s="53" t="s">
        <v>476</v>
      </c>
      <c r="U31" s="53" t="s">
        <v>476</v>
      </c>
      <c r="V31" s="53" t="s">
        <v>476</v>
      </c>
      <c r="W31" s="53" t="s">
        <v>476</v>
      </c>
    </row>
    <row r="32" spans="1:23" ht="12.75">
      <c r="A32" s="54">
        <v>4</v>
      </c>
      <c r="B32" s="54">
        <v>6</v>
      </c>
      <c r="C32" s="54">
        <v>6</v>
      </c>
      <c r="D32" s="54">
        <v>3</v>
      </c>
      <c r="E32" s="54" t="s">
        <v>476</v>
      </c>
      <c r="F32" s="54" t="s">
        <v>476</v>
      </c>
      <c r="G32" s="54" t="s">
        <v>476</v>
      </c>
      <c r="H32" s="54" t="s">
        <v>476</v>
      </c>
      <c r="I32" s="54" t="s">
        <v>476</v>
      </c>
      <c r="J32" s="54" t="s">
        <v>476</v>
      </c>
      <c r="K32" s="54" t="s">
        <v>476</v>
      </c>
      <c r="M32" s="54">
        <v>4</v>
      </c>
      <c r="N32" s="53">
        <v>6</v>
      </c>
      <c r="O32" s="53">
        <v>3</v>
      </c>
      <c r="P32" s="53">
        <v>1</v>
      </c>
      <c r="Q32" s="53" t="s">
        <v>476</v>
      </c>
      <c r="R32" s="53" t="s">
        <v>476</v>
      </c>
      <c r="S32" s="53" t="s">
        <v>476</v>
      </c>
      <c r="T32" s="53" t="s">
        <v>476</v>
      </c>
      <c r="U32" s="53" t="s">
        <v>476</v>
      </c>
      <c r="V32" s="53" t="s">
        <v>476</v>
      </c>
      <c r="W32" s="53" t="s">
        <v>476</v>
      </c>
    </row>
    <row r="33" spans="1:23" ht="12.75">
      <c r="A33" s="54">
        <v>5</v>
      </c>
      <c r="B33" s="54">
        <v>6</v>
      </c>
      <c r="C33" s="54">
        <v>6</v>
      </c>
      <c r="D33" s="54">
        <v>4</v>
      </c>
      <c r="E33" s="54" t="s">
        <v>476</v>
      </c>
      <c r="F33" s="54" t="s">
        <v>476</v>
      </c>
      <c r="G33" s="54" t="s">
        <v>476</v>
      </c>
      <c r="H33" s="54" t="s">
        <v>476</v>
      </c>
      <c r="I33" s="54" t="s">
        <v>476</v>
      </c>
      <c r="J33" s="54" t="s">
        <v>476</v>
      </c>
      <c r="K33" s="54" t="s">
        <v>476</v>
      </c>
      <c r="M33" s="54">
        <v>5</v>
      </c>
      <c r="N33" s="53">
        <v>6</v>
      </c>
      <c r="O33" s="53">
        <v>4</v>
      </c>
      <c r="P33" s="53">
        <v>2</v>
      </c>
      <c r="Q33" s="53" t="s">
        <v>476</v>
      </c>
      <c r="R33" s="53" t="s">
        <v>476</v>
      </c>
      <c r="S33" s="53" t="s">
        <v>476</v>
      </c>
      <c r="T33" s="53" t="s">
        <v>476</v>
      </c>
      <c r="U33" s="53" t="s">
        <v>476</v>
      </c>
      <c r="V33" s="53" t="s">
        <v>476</v>
      </c>
      <c r="W33" s="53" t="s">
        <v>476</v>
      </c>
    </row>
    <row r="34" spans="1:23" ht="12.75">
      <c r="A34" s="54">
        <v>6</v>
      </c>
      <c r="B34" s="54">
        <v>6</v>
      </c>
      <c r="C34" s="54">
        <v>6</v>
      </c>
      <c r="D34" s="54">
        <v>5</v>
      </c>
      <c r="E34" s="54">
        <v>3</v>
      </c>
      <c r="F34" s="54" t="s">
        <v>476</v>
      </c>
      <c r="G34" s="54" t="s">
        <v>476</v>
      </c>
      <c r="H34" s="54" t="s">
        <v>476</v>
      </c>
      <c r="I34" s="54" t="s">
        <v>476</v>
      </c>
      <c r="J34" s="54" t="s">
        <v>476</v>
      </c>
      <c r="K34" s="54" t="s">
        <v>476</v>
      </c>
      <c r="M34" s="54">
        <v>6</v>
      </c>
      <c r="N34" s="53">
        <v>7</v>
      </c>
      <c r="O34" s="53">
        <v>4</v>
      </c>
      <c r="P34" s="53">
        <v>2</v>
      </c>
      <c r="Q34" s="53">
        <v>1</v>
      </c>
      <c r="R34" s="53" t="s">
        <v>476</v>
      </c>
      <c r="S34" s="53" t="s">
        <v>476</v>
      </c>
      <c r="T34" s="53" t="s">
        <v>476</v>
      </c>
      <c r="U34" s="53" t="s">
        <v>476</v>
      </c>
      <c r="V34" s="53" t="s">
        <v>476</v>
      </c>
      <c r="W34" s="53" t="s">
        <v>476</v>
      </c>
    </row>
    <row r="35" spans="1:23" ht="12.75">
      <c r="A35" s="54">
        <v>7</v>
      </c>
      <c r="B35" s="54">
        <v>6</v>
      </c>
      <c r="C35" s="54">
        <v>6</v>
      </c>
      <c r="D35" s="54">
        <v>6</v>
      </c>
      <c r="E35" s="54">
        <v>4</v>
      </c>
      <c r="F35" s="54" t="s">
        <v>476</v>
      </c>
      <c r="G35" s="54" t="s">
        <v>476</v>
      </c>
      <c r="H35" s="54" t="s">
        <v>476</v>
      </c>
      <c r="I35" s="54" t="s">
        <v>476</v>
      </c>
      <c r="J35" s="54" t="s">
        <v>476</v>
      </c>
      <c r="K35" s="54" t="s">
        <v>476</v>
      </c>
      <c r="M35" s="54">
        <v>7</v>
      </c>
      <c r="N35" s="53">
        <v>7</v>
      </c>
      <c r="O35" s="53">
        <v>5</v>
      </c>
      <c r="P35" s="53">
        <v>3</v>
      </c>
      <c r="Q35" s="53">
        <v>2</v>
      </c>
      <c r="R35" s="53" t="s">
        <v>476</v>
      </c>
      <c r="S35" s="53" t="s">
        <v>476</v>
      </c>
      <c r="T35" s="53" t="s">
        <v>476</v>
      </c>
      <c r="U35" s="53" t="s">
        <v>476</v>
      </c>
      <c r="V35" s="53" t="s">
        <v>476</v>
      </c>
      <c r="W35" s="53" t="s">
        <v>476</v>
      </c>
    </row>
    <row r="36" spans="1:23" ht="12.75">
      <c r="A36" s="54">
        <v>8</v>
      </c>
      <c r="B36" s="54">
        <v>6</v>
      </c>
      <c r="C36" s="54">
        <v>6</v>
      </c>
      <c r="D36" s="54">
        <v>6</v>
      </c>
      <c r="E36" s="54">
        <v>5</v>
      </c>
      <c r="F36" s="54">
        <v>3</v>
      </c>
      <c r="G36" s="54" t="s">
        <v>476</v>
      </c>
      <c r="H36" s="54" t="s">
        <v>476</v>
      </c>
      <c r="I36" s="54" t="s">
        <v>476</v>
      </c>
      <c r="J36" s="54" t="s">
        <v>476</v>
      </c>
      <c r="K36" s="54" t="s">
        <v>476</v>
      </c>
      <c r="M36" s="54">
        <v>8</v>
      </c>
      <c r="N36" s="53">
        <v>8</v>
      </c>
      <c r="O36" s="53">
        <v>5</v>
      </c>
      <c r="P36" s="53">
        <v>3</v>
      </c>
      <c r="Q36" s="53">
        <v>2</v>
      </c>
      <c r="R36" s="53">
        <v>1</v>
      </c>
      <c r="S36" s="53" t="s">
        <v>476</v>
      </c>
      <c r="T36" s="53" t="s">
        <v>476</v>
      </c>
      <c r="U36" s="53" t="s">
        <v>476</v>
      </c>
      <c r="V36" s="53" t="s">
        <v>476</v>
      </c>
      <c r="W36" s="53" t="s">
        <v>476</v>
      </c>
    </row>
    <row r="37" spans="1:23" ht="12.75">
      <c r="A37" s="54">
        <v>9</v>
      </c>
      <c r="B37" s="54">
        <v>6</v>
      </c>
      <c r="C37" s="54">
        <v>6</v>
      </c>
      <c r="D37" s="54">
        <v>6</v>
      </c>
      <c r="E37" s="54">
        <v>6</v>
      </c>
      <c r="F37" s="54">
        <v>4</v>
      </c>
      <c r="G37" s="54" t="s">
        <v>476</v>
      </c>
      <c r="H37" s="54" t="s">
        <v>476</v>
      </c>
      <c r="I37" s="54" t="s">
        <v>476</v>
      </c>
      <c r="J37" s="54" t="s">
        <v>476</v>
      </c>
      <c r="K37" s="54" t="s">
        <v>476</v>
      </c>
      <c r="M37" s="54">
        <v>9</v>
      </c>
      <c r="N37" s="53">
        <v>8</v>
      </c>
      <c r="O37" s="53">
        <v>5</v>
      </c>
      <c r="P37" s="53">
        <v>4</v>
      </c>
      <c r="Q37" s="53">
        <v>3</v>
      </c>
      <c r="R37" s="53">
        <v>2</v>
      </c>
      <c r="S37" s="53" t="s">
        <v>476</v>
      </c>
      <c r="T37" s="53" t="s">
        <v>476</v>
      </c>
      <c r="U37" s="53" t="s">
        <v>476</v>
      </c>
      <c r="V37" s="53" t="s">
        <v>476</v>
      </c>
      <c r="W37" s="53" t="s">
        <v>476</v>
      </c>
    </row>
    <row r="38" spans="1:23" ht="12.75">
      <c r="A38" s="54">
        <v>10</v>
      </c>
      <c r="B38" s="54">
        <v>6</v>
      </c>
      <c r="C38" s="54">
        <v>6</v>
      </c>
      <c r="D38" s="54">
        <v>6</v>
      </c>
      <c r="E38" s="54">
        <v>6</v>
      </c>
      <c r="F38" s="54">
        <v>5</v>
      </c>
      <c r="G38" s="54">
        <v>3</v>
      </c>
      <c r="H38" s="54" t="s">
        <v>476</v>
      </c>
      <c r="I38" s="54" t="s">
        <v>476</v>
      </c>
      <c r="J38" s="54" t="s">
        <v>476</v>
      </c>
      <c r="K38" s="54" t="s">
        <v>476</v>
      </c>
      <c r="M38" s="54">
        <v>10</v>
      </c>
      <c r="N38" s="53">
        <v>9</v>
      </c>
      <c r="O38" s="53">
        <v>5</v>
      </c>
      <c r="P38" s="53">
        <v>4</v>
      </c>
      <c r="Q38" s="53">
        <v>3</v>
      </c>
      <c r="R38" s="53">
        <v>2</v>
      </c>
      <c r="S38" s="53">
        <v>1</v>
      </c>
      <c r="T38" s="53" t="s">
        <v>476</v>
      </c>
      <c r="U38" s="53" t="s">
        <v>476</v>
      </c>
      <c r="V38" s="53" t="s">
        <v>476</v>
      </c>
      <c r="W38" s="53" t="s">
        <v>476</v>
      </c>
    </row>
    <row r="39" spans="1:23" ht="12.75">
      <c r="A39" s="54">
        <v>11</v>
      </c>
      <c r="B39" s="54">
        <v>6</v>
      </c>
      <c r="C39" s="54">
        <v>6</v>
      </c>
      <c r="D39" s="54">
        <v>6</v>
      </c>
      <c r="E39" s="54">
        <v>6</v>
      </c>
      <c r="F39" s="54">
        <v>6</v>
      </c>
      <c r="G39" s="54">
        <v>4</v>
      </c>
      <c r="H39" s="54" t="s">
        <v>476</v>
      </c>
      <c r="I39" s="54" t="s">
        <v>476</v>
      </c>
      <c r="J39" s="54" t="s">
        <v>476</v>
      </c>
      <c r="K39" s="54" t="s">
        <v>476</v>
      </c>
      <c r="M39" s="54">
        <v>11</v>
      </c>
      <c r="N39" s="53">
        <v>9</v>
      </c>
      <c r="O39" s="53">
        <v>5</v>
      </c>
      <c r="P39" s="53">
        <v>5</v>
      </c>
      <c r="Q39" s="53">
        <v>4</v>
      </c>
      <c r="R39" s="53">
        <v>3</v>
      </c>
      <c r="S39" s="53">
        <v>2</v>
      </c>
      <c r="T39" s="53" t="s">
        <v>476</v>
      </c>
      <c r="U39" s="53" t="s">
        <v>476</v>
      </c>
      <c r="V39" s="53" t="s">
        <v>476</v>
      </c>
      <c r="W39" s="53" t="s">
        <v>476</v>
      </c>
    </row>
    <row r="40" spans="1:23" ht="12.75">
      <c r="A40" s="54">
        <v>12</v>
      </c>
      <c r="B40" s="54">
        <v>6</v>
      </c>
      <c r="C40" s="54">
        <v>6</v>
      </c>
      <c r="D40" s="54">
        <v>6</v>
      </c>
      <c r="E40" s="54">
        <v>6</v>
      </c>
      <c r="F40" s="54">
        <v>6</v>
      </c>
      <c r="G40" s="54">
        <v>5</v>
      </c>
      <c r="H40" s="54">
        <v>3</v>
      </c>
      <c r="I40" s="54" t="s">
        <v>476</v>
      </c>
      <c r="J40" s="54" t="s">
        <v>476</v>
      </c>
      <c r="K40" s="54" t="s">
        <v>476</v>
      </c>
      <c r="M40" s="54">
        <v>12</v>
      </c>
      <c r="N40" s="53">
        <v>9</v>
      </c>
      <c r="O40" s="53">
        <v>5</v>
      </c>
      <c r="P40" s="53">
        <v>5</v>
      </c>
      <c r="Q40" s="53">
        <v>4</v>
      </c>
      <c r="R40" s="53">
        <v>3</v>
      </c>
      <c r="S40" s="53">
        <v>2</v>
      </c>
      <c r="T40" s="53">
        <v>1</v>
      </c>
      <c r="U40" s="53" t="s">
        <v>476</v>
      </c>
      <c r="V40" s="53" t="s">
        <v>476</v>
      </c>
      <c r="W40" s="53" t="s">
        <v>476</v>
      </c>
    </row>
    <row r="41" spans="1:23" ht="12.75">
      <c r="A41" s="54">
        <v>13</v>
      </c>
      <c r="B41" s="54">
        <v>6</v>
      </c>
      <c r="C41" s="54">
        <v>6</v>
      </c>
      <c r="D41" s="54">
        <v>6</v>
      </c>
      <c r="E41" s="54">
        <v>6</v>
      </c>
      <c r="F41" s="54">
        <v>6</v>
      </c>
      <c r="G41" s="54">
        <v>6</v>
      </c>
      <c r="H41" s="54">
        <v>4</v>
      </c>
      <c r="I41" s="54" t="s">
        <v>476</v>
      </c>
      <c r="J41" s="54" t="s">
        <v>476</v>
      </c>
      <c r="K41" s="54" t="s">
        <v>476</v>
      </c>
      <c r="M41" s="54">
        <v>13</v>
      </c>
      <c r="N41" s="53">
        <v>9</v>
      </c>
      <c r="O41" s="53">
        <v>5</v>
      </c>
      <c r="P41" s="53">
        <v>5</v>
      </c>
      <c r="Q41" s="53">
        <v>4</v>
      </c>
      <c r="R41" s="53">
        <v>4</v>
      </c>
      <c r="S41" s="53">
        <v>3</v>
      </c>
      <c r="T41" s="53">
        <v>2</v>
      </c>
      <c r="U41" s="53" t="s">
        <v>476</v>
      </c>
      <c r="V41" s="53" t="s">
        <v>476</v>
      </c>
      <c r="W41" s="53" t="s">
        <v>476</v>
      </c>
    </row>
    <row r="42" spans="1:23" ht="12.75">
      <c r="A42" s="54">
        <v>14</v>
      </c>
      <c r="B42" s="54">
        <v>6</v>
      </c>
      <c r="C42" s="54">
        <v>6</v>
      </c>
      <c r="D42" s="54">
        <v>6</v>
      </c>
      <c r="E42" s="54">
        <v>6</v>
      </c>
      <c r="F42" s="54">
        <v>6</v>
      </c>
      <c r="G42" s="54">
        <v>6</v>
      </c>
      <c r="H42" s="54">
        <v>5</v>
      </c>
      <c r="I42" s="54">
        <v>3</v>
      </c>
      <c r="J42" s="54" t="s">
        <v>476</v>
      </c>
      <c r="K42" s="54" t="s">
        <v>476</v>
      </c>
      <c r="M42" s="54">
        <v>14</v>
      </c>
      <c r="N42" s="53">
        <v>9</v>
      </c>
      <c r="O42" s="53">
        <v>5</v>
      </c>
      <c r="P42" s="53">
        <v>5</v>
      </c>
      <c r="Q42" s="53">
        <v>4</v>
      </c>
      <c r="R42" s="53">
        <v>4</v>
      </c>
      <c r="S42" s="53">
        <v>3</v>
      </c>
      <c r="T42" s="53">
        <v>2</v>
      </c>
      <c r="U42" s="53">
        <v>1</v>
      </c>
      <c r="V42" s="53" t="s">
        <v>476</v>
      </c>
      <c r="W42" s="53" t="s">
        <v>476</v>
      </c>
    </row>
    <row r="43" spans="1:23" ht="12.75">
      <c r="A43" s="54">
        <v>15</v>
      </c>
      <c r="B43" s="54">
        <v>6</v>
      </c>
      <c r="C43" s="54">
        <v>6</v>
      </c>
      <c r="D43" s="54">
        <v>6</v>
      </c>
      <c r="E43" s="54">
        <v>6</v>
      </c>
      <c r="F43" s="54">
        <v>6</v>
      </c>
      <c r="G43" s="54">
        <v>6</v>
      </c>
      <c r="H43" s="54">
        <v>6</v>
      </c>
      <c r="I43" s="54">
        <v>4</v>
      </c>
      <c r="J43" s="54" t="s">
        <v>476</v>
      </c>
      <c r="K43" s="54" t="s">
        <v>476</v>
      </c>
      <c r="M43" s="54">
        <v>15</v>
      </c>
      <c r="N43" s="53">
        <v>9</v>
      </c>
      <c r="O43" s="53">
        <v>5</v>
      </c>
      <c r="P43" s="53">
        <v>5</v>
      </c>
      <c r="Q43" s="53">
        <v>4</v>
      </c>
      <c r="R43" s="53">
        <v>4</v>
      </c>
      <c r="S43" s="53">
        <v>4</v>
      </c>
      <c r="T43" s="53">
        <v>3</v>
      </c>
      <c r="U43" s="53">
        <v>2</v>
      </c>
      <c r="V43" s="53" t="s">
        <v>476</v>
      </c>
      <c r="W43" s="53" t="s">
        <v>476</v>
      </c>
    </row>
    <row r="44" spans="1:23" ht="12.75">
      <c r="A44" s="54">
        <v>16</v>
      </c>
      <c r="B44" s="54">
        <v>6</v>
      </c>
      <c r="C44" s="54">
        <v>6</v>
      </c>
      <c r="D44" s="54">
        <v>6</v>
      </c>
      <c r="E44" s="54">
        <v>6</v>
      </c>
      <c r="F44" s="54">
        <v>6</v>
      </c>
      <c r="G44" s="54">
        <v>6</v>
      </c>
      <c r="H44" s="54">
        <v>6</v>
      </c>
      <c r="I44" s="54">
        <v>5</v>
      </c>
      <c r="J44" s="54">
        <v>3</v>
      </c>
      <c r="K44" s="54" t="s">
        <v>476</v>
      </c>
      <c r="M44" s="54">
        <v>16</v>
      </c>
      <c r="N44" s="54">
        <v>9</v>
      </c>
      <c r="O44" s="54">
        <v>5</v>
      </c>
      <c r="P44" s="53">
        <v>5</v>
      </c>
      <c r="Q44" s="53">
        <v>4</v>
      </c>
      <c r="R44" s="53">
        <v>4</v>
      </c>
      <c r="S44" s="53">
        <v>4</v>
      </c>
      <c r="T44" s="53">
        <v>3</v>
      </c>
      <c r="U44" s="53">
        <v>2</v>
      </c>
      <c r="V44" s="53">
        <v>1</v>
      </c>
      <c r="W44" s="53" t="s">
        <v>476</v>
      </c>
    </row>
    <row r="45" spans="1:23" ht="12.75">
      <c r="A45" s="54">
        <v>17</v>
      </c>
      <c r="B45" s="54">
        <v>6</v>
      </c>
      <c r="C45" s="54">
        <v>6</v>
      </c>
      <c r="D45" s="54">
        <v>6</v>
      </c>
      <c r="E45" s="54">
        <v>6</v>
      </c>
      <c r="F45" s="54">
        <v>6</v>
      </c>
      <c r="G45" s="54">
        <v>6</v>
      </c>
      <c r="H45" s="54">
        <v>6</v>
      </c>
      <c r="I45" s="54">
        <v>6</v>
      </c>
      <c r="J45" s="54">
        <v>4</v>
      </c>
      <c r="K45" s="54" t="s">
        <v>476</v>
      </c>
      <c r="M45" s="54">
        <v>17</v>
      </c>
      <c r="N45" s="54">
        <v>9</v>
      </c>
      <c r="O45" s="54">
        <v>5</v>
      </c>
      <c r="P45" s="53">
        <v>5</v>
      </c>
      <c r="Q45" s="53">
        <v>4</v>
      </c>
      <c r="R45" s="53">
        <v>4</v>
      </c>
      <c r="S45" s="53">
        <v>4</v>
      </c>
      <c r="T45" s="53">
        <v>3</v>
      </c>
      <c r="U45" s="53">
        <v>3</v>
      </c>
      <c r="V45" s="53">
        <v>2</v>
      </c>
      <c r="W45" s="53" t="s">
        <v>476</v>
      </c>
    </row>
    <row r="46" spans="1:23" ht="12.75">
      <c r="A46" s="54">
        <v>18</v>
      </c>
      <c r="B46" s="54">
        <v>6</v>
      </c>
      <c r="C46" s="54">
        <v>6</v>
      </c>
      <c r="D46" s="54">
        <v>6</v>
      </c>
      <c r="E46" s="54">
        <v>6</v>
      </c>
      <c r="F46" s="54">
        <v>6</v>
      </c>
      <c r="G46" s="54">
        <v>6</v>
      </c>
      <c r="H46" s="54">
        <v>6</v>
      </c>
      <c r="I46" s="54">
        <v>6</v>
      </c>
      <c r="J46" s="54">
        <v>5</v>
      </c>
      <c r="K46" s="54">
        <v>3</v>
      </c>
      <c r="M46" s="54">
        <v>18</v>
      </c>
      <c r="N46" s="54">
        <v>9</v>
      </c>
      <c r="O46" s="54">
        <v>5</v>
      </c>
      <c r="P46" s="53">
        <v>5</v>
      </c>
      <c r="Q46" s="53">
        <v>4</v>
      </c>
      <c r="R46" s="53">
        <v>4</v>
      </c>
      <c r="S46" s="53">
        <v>4</v>
      </c>
      <c r="T46" s="53">
        <v>3</v>
      </c>
      <c r="U46" s="53">
        <v>3</v>
      </c>
      <c r="V46" s="53">
        <v>2</v>
      </c>
      <c r="W46" s="53">
        <v>1</v>
      </c>
    </row>
    <row r="47" spans="1:23" ht="12.75">
      <c r="A47" s="54">
        <v>19</v>
      </c>
      <c r="B47" s="54">
        <v>6</v>
      </c>
      <c r="C47" s="54">
        <v>6</v>
      </c>
      <c r="D47" s="54">
        <v>6</v>
      </c>
      <c r="E47" s="54">
        <v>6</v>
      </c>
      <c r="F47" s="54">
        <v>6</v>
      </c>
      <c r="G47" s="54">
        <v>6</v>
      </c>
      <c r="H47" s="54">
        <v>6</v>
      </c>
      <c r="I47" s="54">
        <v>6</v>
      </c>
      <c r="J47" s="54">
        <v>6</v>
      </c>
      <c r="K47" s="54">
        <v>4</v>
      </c>
      <c r="M47" s="54">
        <v>19</v>
      </c>
      <c r="N47" s="54">
        <v>9</v>
      </c>
      <c r="O47" s="54">
        <v>5</v>
      </c>
      <c r="P47" s="53">
        <v>5</v>
      </c>
      <c r="Q47" s="53">
        <v>4</v>
      </c>
      <c r="R47" s="53">
        <v>4</v>
      </c>
      <c r="S47" s="53">
        <v>4</v>
      </c>
      <c r="T47" s="53">
        <v>3</v>
      </c>
      <c r="U47" s="53">
        <v>3</v>
      </c>
      <c r="V47" s="53">
        <v>3</v>
      </c>
      <c r="W47" s="53">
        <v>2</v>
      </c>
    </row>
    <row r="48" spans="1:23" ht="12.75">
      <c r="A48" s="54">
        <v>20</v>
      </c>
      <c r="B48" s="54">
        <v>6</v>
      </c>
      <c r="C48" s="54">
        <v>6</v>
      </c>
      <c r="D48" s="54">
        <v>6</v>
      </c>
      <c r="E48" s="54">
        <v>6</v>
      </c>
      <c r="F48" s="54">
        <v>6</v>
      </c>
      <c r="G48" s="54">
        <v>6</v>
      </c>
      <c r="H48" s="54">
        <v>6</v>
      </c>
      <c r="I48" s="54">
        <v>6</v>
      </c>
      <c r="J48" s="54">
        <v>6</v>
      </c>
      <c r="K48" s="54">
        <v>6</v>
      </c>
      <c r="M48" s="54">
        <v>20</v>
      </c>
      <c r="N48" s="54">
        <v>9</v>
      </c>
      <c r="O48" s="54">
        <v>5</v>
      </c>
      <c r="P48" s="53">
        <v>5</v>
      </c>
      <c r="Q48" s="53">
        <v>4</v>
      </c>
      <c r="R48" s="53">
        <v>4</v>
      </c>
      <c r="S48" s="53">
        <v>4</v>
      </c>
      <c r="T48" s="53">
        <v>3</v>
      </c>
      <c r="U48" s="53">
        <v>3</v>
      </c>
      <c r="V48" s="53">
        <v>3</v>
      </c>
      <c r="W48" s="53">
        <v>3</v>
      </c>
    </row>
    <row r="49" spans="1:14" ht="12.75">
      <c r="A49" s="54"/>
      <c r="B49" s="54"/>
      <c r="C49" s="54"/>
      <c r="D49" s="54"/>
      <c r="E49" s="54"/>
      <c r="F49" s="54"/>
      <c r="G49" s="54"/>
      <c r="H49" s="54"/>
      <c r="I49" s="54"/>
      <c r="J49" s="54"/>
      <c r="K49" s="54"/>
      <c r="N49" s="54"/>
    </row>
    <row r="50" spans="2:11" ht="12.75">
      <c r="B50" s="248" t="s">
        <v>628</v>
      </c>
      <c r="C50" s="248"/>
      <c r="D50" s="248"/>
      <c r="E50" s="248"/>
      <c r="F50" s="248"/>
      <c r="G50" s="248"/>
      <c r="H50" s="248"/>
      <c r="I50" s="248"/>
      <c r="J50" s="248"/>
      <c r="K50" s="248"/>
    </row>
    <row r="51" spans="1:11" ht="12.75">
      <c r="A51" s="54"/>
      <c r="B51" s="55">
        <v>0</v>
      </c>
      <c r="C51" s="55">
        <v>1</v>
      </c>
      <c r="D51" s="55">
        <v>2</v>
      </c>
      <c r="E51" s="55">
        <v>3</v>
      </c>
      <c r="F51" s="55">
        <v>4</v>
      </c>
      <c r="G51" s="55">
        <v>5</v>
      </c>
      <c r="H51" s="55">
        <v>6</v>
      </c>
      <c r="I51" s="55">
        <v>7</v>
      </c>
      <c r="J51" s="55">
        <v>8</v>
      </c>
      <c r="K51" s="55">
        <v>9</v>
      </c>
    </row>
    <row r="52" spans="1:11" ht="12.75">
      <c r="A52" s="54">
        <v>0</v>
      </c>
      <c r="B52" s="54" t="s">
        <v>476</v>
      </c>
      <c r="C52" s="54" t="s">
        <v>476</v>
      </c>
      <c r="D52" s="54" t="s">
        <v>476</v>
      </c>
      <c r="E52" s="54" t="s">
        <v>476</v>
      </c>
      <c r="F52" s="54" t="s">
        <v>476</v>
      </c>
      <c r="G52" s="54" t="s">
        <v>476</v>
      </c>
      <c r="H52" s="54" t="s">
        <v>476</v>
      </c>
      <c r="I52" s="54" t="s">
        <v>476</v>
      </c>
      <c r="J52" s="54" t="s">
        <v>476</v>
      </c>
      <c r="K52" s="54" t="s">
        <v>476</v>
      </c>
    </row>
    <row r="53" spans="1:11" ht="12.75">
      <c r="A53" s="54">
        <v>1</v>
      </c>
      <c r="B53" s="54">
        <v>3</v>
      </c>
      <c r="C53" s="54">
        <v>1</v>
      </c>
      <c r="D53" s="54" t="s">
        <v>476</v>
      </c>
      <c r="E53" s="54" t="s">
        <v>476</v>
      </c>
      <c r="F53" s="54" t="s">
        <v>476</v>
      </c>
      <c r="G53" s="54" t="s">
        <v>476</v>
      </c>
      <c r="H53" s="54" t="s">
        <v>476</v>
      </c>
      <c r="I53" s="54" t="s">
        <v>476</v>
      </c>
      <c r="J53" s="54" t="s">
        <v>476</v>
      </c>
      <c r="K53" s="54" t="s">
        <v>476</v>
      </c>
    </row>
    <row r="54" spans="1:11" ht="12.75">
      <c r="A54" s="54">
        <v>2</v>
      </c>
      <c r="B54" s="54">
        <v>4</v>
      </c>
      <c r="C54" s="54">
        <v>2</v>
      </c>
      <c r="D54" s="54" t="s">
        <v>476</v>
      </c>
      <c r="E54" s="54" t="s">
        <v>476</v>
      </c>
      <c r="F54" s="54" t="s">
        <v>476</v>
      </c>
      <c r="G54" s="54" t="s">
        <v>476</v>
      </c>
      <c r="H54" s="54" t="s">
        <v>476</v>
      </c>
      <c r="I54" s="54" t="s">
        <v>476</v>
      </c>
      <c r="J54" s="54" t="s">
        <v>476</v>
      </c>
      <c r="K54" s="54" t="s">
        <v>476</v>
      </c>
    </row>
    <row r="55" spans="1:11" ht="12.75">
      <c r="A55" s="54">
        <v>3</v>
      </c>
      <c r="B55" s="54">
        <v>4</v>
      </c>
      <c r="C55" s="54">
        <v>3</v>
      </c>
      <c r="D55" s="54">
        <v>1</v>
      </c>
      <c r="E55" s="54" t="s">
        <v>476</v>
      </c>
      <c r="F55" s="54" t="s">
        <v>476</v>
      </c>
      <c r="G55" s="54" t="s">
        <v>476</v>
      </c>
      <c r="H55" s="54" t="s">
        <v>476</v>
      </c>
      <c r="I55" s="54" t="s">
        <v>476</v>
      </c>
      <c r="J55" s="54" t="s">
        <v>476</v>
      </c>
      <c r="K55" s="54" t="s">
        <v>476</v>
      </c>
    </row>
    <row r="56" spans="1:11" ht="12.75">
      <c r="A56" s="54">
        <v>4</v>
      </c>
      <c r="B56" s="54">
        <v>5</v>
      </c>
      <c r="C56" s="54">
        <v>3</v>
      </c>
      <c r="D56" s="54">
        <v>2</v>
      </c>
      <c r="E56" s="54" t="s">
        <v>476</v>
      </c>
      <c r="F56" s="54" t="s">
        <v>476</v>
      </c>
      <c r="G56" s="54" t="s">
        <v>476</v>
      </c>
      <c r="H56" s="54" t="s">
        <v>476</v>
      </c>
      <c r="I56" s="54" t="s">
        <v>476</v>
      </c>
      <c r="J56" s="54" t="s">
        <v>476</v>
      </c>
      <c r="K56" s="54" t="s">
        <v>476</v>
      </c>
    </row>
    <row r="57" spans="1:11" ht="12.75">
      <c r="A57" s="54">
        <v>5</v>
      </c>
      <c r="B57" s="54">
        <v>5</v>
      </c>
      <c r="C57" s="54">
        <v>3</v>
      </c>
      <c r="D57" s="54">
        <v>2</v>
      </c>
      <c r="E57" s="54">
        <v>1</v>
      </c>
      <c r="F57" s="54" t="s">
        <v>476</v>
      </c>
      <c r="G57" s="54" t="s">
        <v>476</v>
      </c>
      <c r="H57" s="54" t="s">
        <v>476</v>
      </c>
      <c r="I57" s="54" t="s">
        <v>476</v>
      </c>
      <c r="J57" s="54" t="s">
        <v>476</v>
      </c>
      <c r="K57" s="54" t="s">
        <v>476</v>
      </c>
    </row>
    <row r="58" spans="1:11" ht="12.75">
      <c r="A58" s="54">
        <v>6</v>
      </c>
      <c r="B58" s="54">
        <v>5</v>
      </c>
      <c r="C58" s="54">
        <v>4</v>
      </c>
      <c r="D58" s="54">
        <v>3</v>
      </c>
      <c r="E58" s="54">
        <v>2</v>
      </c>
      <c r="F58" s="54" t="s">
        <v>476</v>
      </c>
      <c r="G58" s="54" t="s">
        <v>476</v>
      </c>
      <c r="H58" s="54" t="s">
        <v>476</v>
      </c>
      <c r="I58" s="54" t="s">
        <v>476</v>
      </c>
      <c r="J58" s="54" t="s">
        <v>476</v>
      </c>
      <c r="K58" s="54" t="s">
        <v>476</v>
      </c>
    </row>
    <row r="59" spans="1:11" ht="12.75">
      <c r="A59" s="54">
        <v>7</v>
      </c>
      <c r="B59" s="54">
        <v>6</v>
      </c>
      <c r="C59" s="54">
        <v>4</v>
      </c>
      <c r="D59" s="54">
        <v>3</v>
      </c>
      <c r="E59" s="54">
        <v>2</v>
      </c>
      <c r="F59" s="54">
        <v>1</v>
      </c>
      <c r="G59" s="54" t="s">
        <v>476</v>
      </c>
      <c r="H59" s="54" t="s">
        <v>476</v>
      </c>
      <c r="I59" s="54" t="s">
        <v>476</v>
      </c>
      <c r="J59" s="54" t="s">
        <v>476</v>
      </c>
      <c r="K59" s="54" t="s">
        <v>476</v>
      </c>
    </row>
    <row r="60" spans="1:11" ht="12.75">
      <c r="A60" s="54">
        <v>8</v>
      </c>
      <c r="B60" s="54">
        <v>6</v>
      </c>
      <c r="C60" s="54">
        <v>4</v>
      </c>
      <c r="D60" s="54">
        <v>3</v>
      </c>
      <c r="E60" s="54">
        <v>3</v>
      </c>
      <c r="F60" s="54">
        <v>2</v>
      </c>
      <c r="G60" s="54" t="s">
        <v>476</v>
      </c>
      <c r="H60" s="54" t="s">
        <v>476</v>
      </c>
      <c r="I60" s="54" t="s">
        <v>476</v>
      </c>
      <c r="J60" s="54" t="s">
        <v>476</v>
      </c>
      <c r="K60" s="54" t="s">
        <v>476</v>
      </c>
    </row>
    <row r="61" spans="1:11" ht="12.75">
      <c r="A61" s="54">
        <v>9</v>
      </c>
      <c r="B61" s="54">
        <v>6</v>
      </c>
      <c r="C61" s="54">
        <v>4</v>
      </c>
      <c r="D61" s="54">
        <v>4</v>
      </c>
      <c r="E61" s="54">
        <v>3</v>
      </c>
      <c r="F61" s="54">
        <v>2</v>
      </c>
      <c r="G61" s="54">
        <v>1</v>
      </c>
      <c r="H61" s="54" t="s">
        <v>476</v>
      </c>
      <c r="I61" s="54" t="s">
        <v>476</v>
      </c>
      <c r="J61" s="54" t="s">
        <v>476</v>
      </c>
      <c r="K61" s="54" t="s">
        <v>476</v>
      </c>
    </row>
    <row r="62" spans="1:11" ht="12.75">
      <c r="A62" s="54">
        <v>10</v>
      </c>
      <c r="B62" s="54">
        <v>6</v>
      </c>
      <c r="C62" s="54">
        <v>5</v>
      </c>
      <c r="D62" s="54">
        <v>4</v>
      </c>
      <c r="E62" s="54">
        <v>3</v>
      </c>
      <c r="F62" s="54">
        <v>3</v>
      </c>
      <c r="G62" s="54">
        <v>2</v>
      </c>
      <c r="H62" s="54" t="s">
        <v>476</v>
      </c>
      <c r="I62" s="54" t="s">
        <v>476</v>
      </c>
      <c r="J62" s="54" t="s">
        <v>476</v>
      </c>
      <c r="K62" s="54" t="s">
        <v>476</v>
      </c>
    </row>
    <row r="63" spans="1:11" ht="12.75">
      <c r="A63" s="54">
        <v>11</v>
      </c>
      <c r="B63" s="54">
        <v>6</v>
      </c>
      <c r="C63" s="54">
        <v>5</v>
      </c>
      <c r="D63" s="54">
        <v>4</v>
      </c>
      <c r="E63" s="54">
        <v>4</v>
      </c>
      <c r="F63" s="54">
        <v>3</v>
      </c>
      <c r="G63" s="54">
        <v>2</v>
      </c>
      <c r="H63" s="54">
        <v>1</v>
      </c>
      <c r="I63" s="54" t="s">
        <v>476</v>
      </c>
      <c r="J63" s="54" t="s">
        <v>476</v>
      </c>
      <c r="K63" s="54" t="s">
        <v>476</v>
      </c>
    </row>
    <row r="64" spans="1:11" ht="12.75">
      <c r="A64" s="54">
        <v>12</v>
      </c>
      <c r="B64" s="54">
        <v>6</v>
      </c>
      <c r="C64" s="54">
        <v>5</v>
      </c>
      <c r="D64" s="54">
        <v>4</v>
      </c>
      <c r="E64" s="54">
        <v>4</v>
      </c>
      <c r="F64" s="54">
        <v>3</v>
      </c>
      <c r="G64" s="54">
        <v>3</v>
      </c>
      <c r="H64" s="54">
        <v>2</v>
      </c>
      <c r="I64" s="54" t="s">
        <v>476</v>
      </c>
      <c r="J64" s="54" t="s">
        <v>476</v>
      </c>
      <c r="K64" s="54" t="s">
        <v>476</v>
      </c>
    </row>
    <row r="65" spans="1:11" ht="12.75">
      <c r="A65" s="54">
        <v>13</v>
      </c>
      <c r="B65" s="54">
        <v>6</v>
      </c>
      <c r="C65" s="54">
        <v>5</v>
      </c>
      <c r="D65" s="54">
        <v>5</v>
      </c>
      <c r="E65" s="54">
        <v>4</v>
      </c>
      <c r="F65" s="54">
        <v>4</v>
      </c>
      <c r="G65" s="54">
        <v>3</v>
      </c>
      <c r="H65" s="54">
        <v>2</v>
      </c>
      <c r="I65" s="54">
        <v>1</v>
      </c>
      <c r="J65" s="54" t="s">
        <v>476</v>
      </c>
      <c r="K65" s="54" t="s">
        <v>476</v>
      </c>
    </row>
    <row r="66" spans="1:11" ht="12.75">
      <c r="A66" s="54">
        <v>14</v>
      </c>
      <c r="B66" s="54">
        <v>6</v>
      </c>
      <c r="C66" s="54">
        <v>5</v>
      </c>
      <c r="D66" s="54">
        <v>5</v>
      </c>
      <c r="E66" s="54">
        <v>4</v>
      </c>
      <c r="F66" s="54">
        <v>4</v>
      </c>
      <c r="G66" s="54">
        <v>3</v>
      </c>
      <c r="H66" s="54">
        <v>3</v>
      </c>
      <c r="I66" s="54">
        <v>2</v>
      </c>
      <c r="J66" s="54" t="s">
        <v>476</v>
      </c>
      <c r="K66" s="54" t="s">
        <v>476</v>
      </c>
    </row>
    <row r="67" spans="1:11" ht="12.75">
      <c r="A67" s="54">
        <v>15</v>
      </c>
      <c r="B67" s="54">
        <v>6</v>
      </c>
      <c r="C67" s="54">
        <v>5</v>
      </c>
      <c r="D67" s="54">
        <v>5</v>
      </c>
      <c r="E67" s="54">
        <v>5</v>
      </c>
      <c r="F67" s="54">
        <v>4</v>
      </c>
      <c r="G67" s="54">
        <v>4</v>
      </c>
      <c r="H67" s="54">
        <v>3</v>
      </c>
      <c r="I67" s="54">
        <v>2</v>
      </c>
      <c r="J67" s="54">
        <v>1</v>
      </c>
      <c r="K67" s="54" t="s">
        <v>476</v>
      </c>
    </row>
    <row r="68" spans="1:11" ht="12.75">
      <c r="A68" s="54">
        <v>16</v>
      </c>
      <c r="B68" s="54">
        <v>6</v>
      </c>
      <c r="C68" s="54">
        <v>5</v>
      </c>
      <c r="D68" s="54">
        <v>5</v>
      </c>
      <c r="E68" s="54">
        <v>5</v>
      </c>
      <c r="F68" s="54">
        <v>4</v>
      </c>
      <c r="G68" s="54">
        <v>4</v>
      </c>
      <c r="H68" s="54">
        <v>3</v>
      </c>
      <c r="I68" s="54">
        <v>3</v>
      </c>
      <c r="J68" s="54">
        <v>2</v>
      </c>
      <c r="K68" s="54" t="s">
        <v>476</v>
      </c>
    </row>
    <row r="69" spans="1:11" ht="12.75">
      <c r="A69" s="54">
        <v>17</v>
      </c>
      <c r="B69" s="54">
        <v>6</v>
      </c>
      <c r="C69" s="54">
        <v>5</v>
      </c>
      <c r="D69" s="54">
        <v>5</v>
      </c>
      <c r="E69" s="54">
        <v>5</v>
      </c>
      <c r="F69" s="54">
        <v>5</v>
      </c>
      <c r="G69" s="54">
        <v>4</v>
      </c>
      <c r="H69" s="54">
        <v>4</v>
      </c>
      <c r="I69" s="54">
        <v>3</v>
      </c>
      <c r="J69" s="54">
        <v>2</v>
      </c>
      <c r="K69" s="54">
        <v>1</v>
      </c>
    </row>
    <row r="70" spans="1:11" ht="12.75">
      <c r="A70" s="54">
        <v>18</v>
      </c>
      <c r="B70" s="54">
        <v>6</v>
      </c>
      <c r="C70" s="54">
        <v>5</v>
      </c>
      <c r="D70" s="54">
        <v>5</v>
      </c>
      <c r="E70" s="54">
        <v>5</v>
      </c>
      <c r="F70" s="54">
        <v>5</v>
      </c>
      <c r="G70" s="54">
        <v>4</v>
      </c>
      <c r="H70" s="54">
        <v>4</v>
      </c>
      <c r="I70" s="54">
        <v>3</v>
      </c>
      <c r="J70" s="54">
        <v>3</v>
      </c>
      <c r="K70" s="54">
        <v>2</v>
      </c>
    </row>
    <row r="71" spans="1:11" ht="12.75">
      <c r="A71" s="54">
        <v>19</v>
      </c>
      <c r="B71" s="54">
        <v>6</v>
      </c>
      <c r="C71" s="54">
        <v>5</v>
      </c>
      <c r="D71" s="54">
        <v>5</v>
      </c>
      <c r="E71" s="54">
        <v>5</v>
      </c>
      <c r="F71" s="54">
        <v>5</v>
      </c>
      <c r="G71" s="54">
        <v>5</v>
      </c>
      <c r="H71" s="54">
        <v>4</v>
      </c>
      <c r="I71" s="54">
        <v>4</v>
      </c>
      <c r="J71" s="54">
        <v>3</v>
      </c>
      <c r="K71" s="54">
        <v>3</v>
      </c>
    </row>
    <row r="72" spans="1:11" ht="12.75">
      <c r="A72" s="54">
        <v>20</v>
      </c>
      <c r="B72" s="54">
        <v>6</v>
      </c>
      <c r="C72" s="54">
        <v>5</v>
      </c>
      <c r="D72" s="54">
        <v>5</v>
      </c>
      <c r="E72" s="54">
        <v>5</v>
      </c>
      <c r="F72" s="54">
        <v>5</v>
      </c>
      <c r="G72" s="54">
        <v>5</v>
      </c>
      <c r="H72" s="54">
        <v>4</v>
      </c>
      <c r="I72" s="54">
        <v>4</v>
      </c>
      <c r="J72" s="54">
        <v>4</v>
      </c>
      <c r="K72" s="54">
        <v>4</v>
      </c>
    </row>
    <row r="74" spans="2:17" ht="12.75">
      <c r="B74" s="248" t="s">
        <v>629</v>
      </c>
      <c r="C74" s="248"/>
      <c r="D74" s="248"/>
      <c r="E74" s="248"/>
      <c r="F74" s="8"/>
      <c r="O74" s="8"/>
      <c r="P74" s="8"/>
      <c r="Q74" s="8"/>
    </row>
    <row r="75" spans="1:17" ht="12.75">
      <c r="A75" s="54"/>
      <c r="B75" s="55">
        <v>1</v>
      </c>
      <c r="C75" s="55">
        <v>2</v>
      </c>
      <c r="D75" s="55">
        <v>3</v>
      </c>
      <c r="E75" s="55">
        <v>4</v>
      </c>
      <c r="G75" s="8"/>
      <c r="H75" s="8"/>
      <c r="I75" s="8"/>
      <c r="J75" s="8"/>
      <c r="K75" s="8"/>
      <c r="O75" s="56"/>
      <c r="P75" s="56"/>
      <c r="Q75" s="56"/>
    </row>
    <row r="76" spans="1:17" ht="12.75">
      <c r="A76" s="54">
        <v>0</v>
      </c>
      <c r="B76" s="54" t="s">
        <v>476</v>
      </c>
      <c r="C76" s="54" t="s">
        <v>476</v>
      </c>
      <c r="D76" s="54" t="s">
        <v>476</v>
      </c>
      <c r="E76" s="54" t="s">
        <v>476</v>
      </c>
      <c r="G76" s="8"/>
      <c r="H76" s="8"/>
      <c r="I76" s="8"/>
      <c r="J76" s="8"/>
      <c r="K76" s="8"/>
      <c r="O76" s="56"/>
      <c r="P76" s="56"/>
      <c r="Q76" s="56"/>
    </row>
    <row r="77" spans="1:17" ht="12.75">
      <c r="A77" s="54">
        <v>1</v>
      </c>
      <c r="B77" s="54" t="s">
        <v>476</v>
      </c>
      <c r="C77" s="54" t="s">
        <v>476</v>
      </c>
      <c r="D77" s="54" t="s">
        <v>476</v>
      </c>
      <c r="E77" s="54" t="s">
        <v>476</v>
      </c>
      <c r="G77" s="54"/>
      <c r="H77" s="54"/>
      <c r="I77" s="54"/>
      <c r="J77" s="54"/>
      <c r="K77" s="54"/>
      <c r="O77" s="54"/>
      <c r="P77" s="54"/>
      <c r="Q77" s="54"/>
    </row>
    <row r="78" spans="1:17" ht="12.75">
      <c r="A78" s="54">
        <v>2</v>
      </c>
      <c r="B78" s="54" t="s">
        <v>476</v>
      </c>
      <c r="C78" s="54" t="s">
        <v>476</v>
      </c>
      <c r="D78" s="54" t="s">
        <v>476</v>
      </c>
      <c r="E78" s="54" t="s">
        <v>476</v>
      </c>
      <c r="G78" s="54"/>
      <c r="H78" s="54"/>
      <c r="I78" s="54"/>
      <c r="J78" s="54"/>
      <c r="K78" s="54"/>
      <c r="O78" s="54"/>
      <c r="P78" s="54"/>
      <c r="Q78" s="54"/>
    </row>
    <row r="79" spans="1:17" ht="12.75">
      <c r="A79" s="54">
        <v>3</v>
      </c>
      <c r="B79" s="54" t="s">
        <v>476</v>
      </c>
      <c r="C79" s="54" t="s">
        <v>476</v>
      </c>
      <c r="D79" s="54" t="s">
        <v>476</v>
      </c>
      <c r="E79" s="54" t="s">
        <v>476</v>
      </c>
      <c r="G79" s="54"/>
      <c r="H79" s="54"/>
      <c r="I79" s="54"/>
      <c r="J79" s="54"/>
      <c r="K79" s="54"/>
      <c r="O79" s="54"/>
      <c r="P79" s="54"/>
      <c r="Q79" s="54"/>
    </row>
    <row r="80" spans="1:17" ht="12.75">
      <c r="A80" s="54">
        <v>4</v>
      </c>
      <c r="B80" s="54">
        <v>0</v>
      </c>
      <c r="C80" s="54" t="s">
        <v>476</v>
      </c>
      <c r="D80" s="54" t="s">
        <v>476</v>
      </c>
      <c r="E80" s="54" t="s">
        <v>476</v>
      </c>
      <c r="G80" s="54"/>
      <c r="H80" s="54"/>
      <c r="I80" s="54"/>
      <c r="J80" s="54"/>
      <c r="K80" s="54"/>
      <c r="O80" s="54"/>
      <c r="P80" s="54"/>
      <c r="Q80" s="54"/>
    </row>
    <row r="81" spans="1:17" ht="12.75">
      <c r="A81" s="54">
        <v>5</v>
      </c>
      <c r="B81" s="54">
        <v>0</v>
      </c>
      <c r="C81" s="54" t="s">
        <v>476</v>
      </c>
      <c r="D81" s="54" t="s">
        <v>476</v>
      </c>
      <c r="E81" s="54" t="s">
        <v>476</v>
      </c>
      <c r="G81" s="54"/>
      <c r="H81" s="54"/>
      <c r="I81" s="54"/>
      <c r="J81" s="54"/>
      <c r="K81" s="54"/>
      <c r="O81" s="54"/>
      <c r="P81" s="54"/>
      <c r="Q81" s="54"/>
    </row>
    <row r="82" spans="1:17" ht="12.75">
      <c r="A82" s="54">
        <v>6</v>
      </c>
      <c r="B82" s="54">
        <v>1</v>
      </c>
      <c r="C82" s="54" t="s">
        <v>476</v>
      </c>
      <c r="D82" s="54" t="s">
        <v>476</v>
      </c>
      <c r="E82" s="54" t="s">
        <v>476</v>
      </c>
      <c r="G82" s="54"/>
      <c r="H82" s="54"/>
      <c r="I82" s="54"/>
      <c r="J82" s="54"/>
      <c r="K82" s="54"/>
      <c r="O82" s="54"/>
      <c r="P82" s="54"/>
      <c r="Q82" s="54"/>
    </row>
    <row r="83" spans="1:17" ht="12.75">
      <c r="A83" s="54">
        <v>7</v>
      </c>
      <c r="B83" s="54">
        <v>1</v>
      </c>
      <c r="C83" s="54" t="s">
        <v>476</v>
      </c>
      <c r="D83" s="54" t="s">
        <v>476</v>
      </c>
      <c r="E83" s="54" t="s">
        <v>476</v>
      </c>
      <c r="G83" s="54"/>
      <c r="H83" s="54"/>
      <c r="I83" s="54"/>
      <c r="J83" s="54"/>
      <c r="K83" s="54"/>
      <c r="O83" s="54"/>
      <c r="P83" s="54"/>
      <c r="Q83" s="54"/>
    </row>
    <row r="84" spans="1:17" ht="12.75">
      <c r="A84" s="54">
        <v>8</v>
      </c>
      <c r="B84" s="54">
        <v>1</v>
      </c>
      <c r="C84" s="54">
        <v>0</v>
      </c>
      <c r="D84" s="54" t="s">
        <v>476</v>
      </c>
      <c r="E84" s="54" t="s">
        <v>476</v>
      </c>
      <c r="G84" s="54"/>
      <c r="H84" s="54"/>
      <c r="I84" s="54"/>
      <c r="J84" s="54"/>
      <c r="K84" s="54"/>
      <c r="O84" s="54"/>
      <c r="P84" s="54"/>
      <c r="Q84" s="54"/>
    </row>
    <row r="85" spans="1:17" ht="12.75">
      <c r="A85" s="54">
        <v>9</v>
      </c>
      <c r="B85" s="54">
        <v>1</v>
      </c>
      <c r="C85" s="54">
        <v>0</v>
      </c>
      <c r="D85" s="54" t="s">
        <v>476</v>
      </c>
      <c r="E85" s="54" t="s">
        <v>476</v>
      </c>
      <c r="G85" s="54"/>
      <c r="H85" s="54"/>
      <c r="I85" s="54"/>
      <c r="J85" s="54"/>
      <c r="K85" s="54"/>
      <c r="O85" s="54"/>
      <c r="P85" s="54"/>
      <c r="Q85" s="54"/>
    </row>
    <row r="86" spans="1:17" ht="12.75">
      <c r="A86" s="54">
        <v>10</v>
      </c>
      <c r="B86" s="54">
        <v>1</v>
      </c>
      <c r="C86" s="54">
        <v>1</v>
      </c>
      <c r="D86" s="54" t="s">
        <v>476</v>
      </c>
      <c r="E86" s="54" t="s">
        <v>476</v>
      </c>
      <c r="G86" s="54"/>
      <c r="H86" s="54"/>
      <c r="I86" s="54"/>
      <c r="J86" s="54"/>
      <c r="K86" s="54"/>
      <c r="O86" s="54"/>
      <c r="P86" s="54"/>
      <c r="Q86" s="54"/>
    </row>
    <row r="87" spans="1:17" ht="12.75">
      <c r="A87" s="54">
        <v>11</v>
      </c>
      <c r="B87" s="54">
        <v>1</v>
      </c>
      <c r="C87" s="54">
        <v>1</v>
      </c>
      <c r="D87" s="54">
        <v>0</v>
      </c>
      <c r="E87" s="54" t="s">
        <v>476</v>
      </c>
      <c r="G87" s="54"/>
      <c r="H87" s="54"/>
      <c r="I87" s="54"/>
      <c r="J87" s="54"/>
      <c r="K87" s="54"/>
      <c r="O87" s="54"/>
      <c r="P87" s="54"/>
      <c r="Q87" s="54"/>
    </row>
    <row r="88" spans="1:17" ht="12.75">
      <c r="A88" s="54">
        <v>12</v>
      </c>
      <c r="B88" s="54">
        <v>1</v>
      </c>
      <c r="C88" s="54">
        <v>1</v>
      </c>
      <c r="D88" s="54">
        <v>1</v>
      </c>
      <c r="E88" s="54" t="s">
        <v>476</v>
      </c>
      <c r="G88" s="54"/>
      <c r="H88" s="54"/>
      <c r="I88" s="54"/>
      <c r="J88" s="54"/>
      <c r="K88" s="54"/>
      <c r="O88" s="54"/>
      <c r="P88" s="54"/>
      <c r="Q88" s="54"/>
    </row>
    <row r="89" spans="1:17" ht="12.75">
      <c r="A89" s="54">
        <v>13</v>
      </c>
      <c r="B89" s="54">
        <v>1</v>
      </c>
      <c r="C89" s="54">
        <v>1</v>
      </c>
      <c r="D89" s="54">
        <v>1</v>
      </c>
      <c r="E89" s="54" t="s">
        <v>476</v>
      </c>
      <c r="G89" s="54"/>
      <c r="H89" s="54"/>
      <c r="I89" s="54"/>
      <c r="J89" s="54"/>
      <c r="K89" s="54"/>
      <c r="O89" s="54"/>
      <c r="P89" s="54"/>
      <c r="Q89" s="54"/>
    </row>
    <row r="90" spans="1:17" ht="12.75">
      <c r="A90" s="54">
        <v>14</v>
      </c>
      <c r="B90" s="54">
        <v>2</v>
      </c>
      <c r="C90" s="54">
        <v>1</v>
      </c>
      <c r="D90" s="54">
        <v>1</v>
      </c>
      <c r="E90" s="54">
        <v>0</v>
      </c>
      <c r="G90" s="54"/>
      <c r="H90" s="54"/>
      <c r="I90" s="54"/>
      <c r="J90" s="54"/>
      <c r="K90" s="54"/>
      <c r="O90" s="54"/>
      <c r="P90" s="54"/>
      <c r="Q90" s="54"/>
    </row>
    <row r="91" spans="1:17" ht="12.75">
      <c r="A91" s="54">
        <v>15</v>
      </c>
      <c r="B91" s="54">
        <v>2</v>
      </c>
      <c r="C91" s="54">
        <v>1</v>
      </c>
      <c r="D91" s="54">
        <v>1</v>
      </c>
      <c r="E91" s="54">
        <v>1</v>
      </c>
      <c r="G91" s="54"/>
      <c r="H91" s="54"/>
      <c r="I91" s="54"/>
      <c r="J91" s="54"/>
      <c r="K91" s="54"/>
      <c r="O91" s="54"/>
      <c r="P91" s="54"/>
      <c r="Q91" s="54"/>
    </row>
    <row r="92" spans="1:17" ht="12.75">
      <c r="A92" s="54">
        <v>16</v>
      </c>
      <c r="B92" s="54">
        <v>2</v>
      </c>
      <c r="C92" s="54">
        <v>2</v>
      </c>
      <c r="D92" s="54">
        <v>1</v>
      </c>
      <c r="E92" s="54">
        <v>1</v>
      </c>
      <c r="G92" s="54"/>
      <c r="H92" s="54"/>
      <c r="I92" s="54"/>
      <c r="J92" s="54"/>
      <c r="K92" s="54"/>
      <c r="O92" s="54"/>
      <c r="P92" s="54"/>
      <c r="Q92" s="54"/>
    </row>
    <row r="93" spans="1:17" ht="12.75">
      <c r="A93" s="54">
        <v>17</v>
      </c>
      <c r="B93" s="54">
        <v>2</v>
      </c>
      <c r="C93" s="54">
        <v>2</v>
      </c>
      <c r="D93" s="54">
        <v>2</v>
      </c>
      <c r="E93" s="54">
        <v>1</v>
      </c>
      <c r="G93" s="54"/>
      <c r="H93" s="54"/>
      <c r="I93" s="54"/>
      <c r="J93" s="54"/>
      <c r="K93" s="54"/>
      <c r="O93" s="54"/>
      <c r="P93" s="54"/>
      <c r="Q93" s="54"/>
    </row>
    <row r="94" spans="1:17" ht="12.75">
      <c r="A94" s="54">
        <v>18</v>
      </c>
      <c r="B94" s="54">
        <v>3</v>
      </c>
      <c r="C94" s="54">
        <v>2</v>
      </c>
      <c r="D94" s="54">
        <v>2</v>
      </c>
      <c r="E94" s="54">
        <v>1</v>
      </c>
      <c r="G94" s="54"/>
      <c r="H94" s="54"/>
      <c r="I94" s="54"/>
      <c r="J94" s="54"/>
      <c r="K94" s="54"/>
      <c r="O94" s="54"/>
      <c r="P94" s="54"/>
      <c r="Q94" s="54"/>
    </row>
    <row r="95" spans="1:17" ht="12.75">
      <c r="A95" s="54">
        <v>19</v>
      </c>
      <c r="B95" s="54">
        <v>3</v>
      </c>
      <c r="C95" s="54">
        <v>3</v>
      </c>
      <c r="D95" s="54">
        <v>3</v>
      </c>
      <c r="E95" s="54">
        <v>2</v>
      </c>
      <c r="G95" s="54"/>
      <c r="H95" s="54"/>
      <c r="I95" s="54"/>
      <c r="J95" s="54"/>
      <c r="K95" s="54"/>
      <c r="O95" s="54"/>
      <c r="P95" s="54"/>
      <c r="Q95" s="54"/>
    </row>
    <row r="96" spans="1:17" ht="12.75">
      <c r="A96" s="54">
        <v>20</v>
      </c>
      <c r="B96" s="54">
        <v>3</v>
      </c>
      <c r="C96" s="54">
        <v>3</v>
      </c>
      <c r="D96" s="54">
        <v>3</v>
      </c>
      <c r="E96" s="54">
        <v>3</v>
      </c>
      <c r="G96" s="54"/>
      <c r="H96" s="54"/>
      <c r="I96" s="54"/>
      <c r="J96" s="54"/>
      <c r="K96" s="54"/>
      <c r="O96" s="54"/>
      <c r="P96" s="54"/>
      <c r="Q96" s="54"/>
    </row>
    <row r="98" spans="2:20" ht="12.75">
      <c r="B98" s="248" t="s">
        <v>630</v>
      </c>
      <c r="C98" s="248"/>
      <c r="D98" s="248"/>
      <c r="E98" s="248"/>
      <c r="F98" s="248"/>
      <c r="G98" s="248"/>
      <c r="H98" s="248"/>
      <c r="N98" s="248" t="s">
        <v>631</v>
      </c>
      <c r="O98" s="248"/>
      <c r="P98" s="248"/>
      <c r="Q98" s="248"/>
      <c r="R98" s="248"/>
      <c r="S98" s="248"/>
      <c r="T98" s="248"/>
    </row>
    <row r="99" spans="1:20" ht="12.75">
      <c r="A99" s="54"/>
      <c r="B99" s="55">
        <v>0</v>
      </c>
      <c r="C99" s="55">
        <v>1</v>
      </c>
      <c r="D99" s="55">
        <v>2</v>
      </c>
      <c r="E99" s="55">
        <v>3</v>
      </c>
      <c r="F99" s="55">
        <v>4</v>
      </c>
      <c r="G99" s="55">
        <v>5</v>
      </c>
      <c r="H99" s="55">
        <v>6</v>
      </c>
      <c r="I99" s="8"/>
      <c r="J99" s="8"/>
      <c r="K99" s="8"/>
      <c r="N99" s="55">
        <v>0</v>
      </c>
      <c r="O99" s="55">
        <v>1</v>
      </c>
      <c r="P99" s="55">
        <v>2</v>
      </c>
      <c r="Q99" s="55">
        <v>3</v>
      </c>
      <c r="R99" s="55">
        <v>4</v>
      </c>
      <c r="S99" s="55">
        <v>5</v>
      </c>
      <c r="T99" s="55">
        <v>6</v>
      </c>
    </row>
    <row r="100" spans="1:20" ht="12.75">
      <c r="A100" s="54">
        <v>0</v>
      </c>
      <c r="B100" s="54" t="s">
        <v>476</v>
      </c>
      <c r="C100" s="54" t="s">
        <v>476</v>
      </c>
      <c r="D100" s="54" t="s">
        <v>476</v>
      </c>
      <c r="E100" s="54" t="s">
        <v>476</v>
      </c>
      <c r="F100" s="54" t="s">
        <v>476</v>
      </c>
      <c r="G100" s="54" t="s">
        <v>476</v>
      </c>
      <c r="H100" s="54" t="s">
        <v>476</v>
      </c>
      <c r="I100" s="8"/>
      <c r="J100" s="8"/>
      <c r="K100" s="8"/>
      <c r="M100" s="53">
        <v>0</v>
      </c>
      <c r="N100" s="54" t="s">
        <v>476</v>
      </c>
      <c r="O100" s="54" t="s">
        <v>476</v>
      </c>
      <c r="P100" s="54" t="s">
        <v>476</v>
      </c>
      <c r="Q100" s="54" t="s">
        <v>476</v>
      </c>
      <c r="R100" s="54" t="s">
        <v>476</v>
      </c>
      <c r="S100" s="54" t="s">
        <v>476</v>
      </c>
      <c r="T100" s="54" t="s">
        <v>476</v>
      </c>
    </row>
    <row r="101" spans="1:20" ht="12.75">
      <c r="A101" s="54">
        <v>1</v>
      </c>
      <c r="B101" s="54">
        <v>2</v>
      </c>
      <c r="C101" s="54" t="s">
        <v>476</v>
      </c>
      <c r="D101" s="54" t="s">
        <v>476</v>
      </c>
      <c r="E101" s="54" t="s">
        <v>476</v>
      </c>
      <c r="F101" s="54" t="s">
        <v>476</v>
      </c>
      <c r="G101" s="54" t="s">
        <v>476</v>
      </c>
      <c r="H101" s="54" t="s">
        <v>476</v>
      </c>
      <c r="I101" s="54"/>
      <c r="J101" s="54"/>
      <c r="K101" s="54"/>
      <c r="M101" s="54">
        <v>1</v>
      </c>
      <c r="N101" s="53">
        <v>4</v>
      </c>
      <c r="O101" s="53" t="s">
        <v>476</v>
      </c>
      <c r="P101" s="53" t="s">
        <v>476</v>
      </c>
      <c r="Q101" s="53" t="s">
        <v>476</v>
      </c>
      <c r="R101" s="53" t="s">
        <v>476</v>
      </c>
      <c r="S101" s="53" t="s">
        <v>476</v>
      </c>
      <c r="T101" s="53" t="s">
        <v>476</v>
      </c>
    </row>
    <row r="102" spans="1:20" ht="12.75">
      <c r="A102" s="54">
        <v>2</v>
      </c>
      <c r="B102" s="54">
        <v>3</v>
      </c>
      <c r="C102" s="54">
        <v>0</v>
      </c>
      <c r="D102" s="54" t="s">
        <v>476</v>
      </c>
      <c r="E102" s="54" t="s">
        <v>476</v>
      </c>
      <c r="F102" s="54" t="s">
        <v>476</v>
      </c>
      <c r="G102" s="54" t="s">
        <v>476</v>
      </c>
      <c r="H102" s="54" t="s">
        <v>476</v>
      </c>
      <c r="I102" s="54"/>
      <c r="J102" s="54"/>
      <c r="K102" s="54"/>
      <c r="M102" s="54">
        <v>2</v>
      </c>
      <c r="N102" s="53">
        <v>5</v>
      </c>
      <c r="O102" s="53">
        <v>2</v>
      </c>
      <c r="P102" s="53" t="s">
        <v>476</v>
      </c>
      <c r="Q102" s="53" t="s">
        <v>476</v>
      </c>
      <c r="R102" s="53" t="s">
        <v>476</v>
      </c>
      <c r="S102" s="53" t="s">
        <v>476</v>
      </c>
      <c r="T102" s="53" t="s">
        <v>476</v>
      </c>
    </row>
    <row r="103" spans="1:20" ht="12.75">
      <c r="A103" s="54">
        <v>3</v>
      </c>
      <c r="B103" s="54">
        <v>3</v>
      </c>
      <c r="C103" s="54">
        <v>1</v>
      </c>
      <c r="D103" s="54" t="s">
        <v>476</v>
      </c>
      <c r="E103" s="54" t="s">
        <v>476</v>
      </c>
      <c r="F103" s="54" t="s">
        <v>476</v>
      </c>
      <c r="G103" s="54" t="s">
        <v>476</v>
      </c>
      <c r="H103" s="54" t="s">
        <v>476</v>
      </c>
      <c r="I103" s="54"/>
      <c r="J103" s="54"/>
      <c r="K103" s="54"/>
      <c r="M103" s="54">
        <v>3</v>
      </c>
      <c r="N103" s="53">
        <v>6</v>
      </c>
      <c r="O103" s="53">
        <v>3</v>
      </c>
      <c r="P103" s="53" t="s">
        <v>476</v>
      </c>
      <c r="Q103" s="53" t="s">
        <v>476</v>
      </c>
      <c r="R103" s="53" t="s">
        <v>476</v>
      </c>
      <c r="S103" s="53" t="s">
        <v>476</v>
      </c>
      <c r="T103" s="53" t="s">
        <v>476</v>
      </c>
    </row>
    <row r="104" spans="1:20" ht="12.75">
      <c r="A104" s="54">
        <v>4</v>
      </c>
      <c r="B104" s="54">
        <v>3</v>
      </c>
      <c r="C104" s="54">
        <v>2</v>
      </c>
      <c r="D104" s="54">
        <v>0</v>
      </c>
      <c r="E104" s="54" t="s">
        <v>476</v>
      </c>
      <c r="F104" s="54" t="s">
        <v>476</v>
      </c>
      <c r="G104" s="54" t="s">
        <v>476</v>
      </c>
      <c r="H104" s="54" t="s">
        <v>476</v>
      </c>
      <c r="I104" s="54"/>
      <c r="J104" s="54"/>
      <c r="K104" s="54"/>
      <c r="M104" s="54">
        <v>4</v>
      </c>
      <c r="N104" s="53">
        <v>6</v>
      </c>
      <c r="O104" s="53">
        <v>3</v>
      </c>
      <c r="P104" s="53">
        <v>2</v>
      </c>
      <c r="Q104" s="53" t="s">
        <v>476</v>
      </c>
      <c r="R104" s="53" t="s">
        <v>476</v>
      </c>
      <c r="S104" s="53" t="s">
        <v>476</v>
      </c>
      <c r="T104" s="53" t="s">
        <v>476</v>
      </c>
    </row>
    <row r="105" spans="1:20" ht="12.75">
      <c r="A105" s="54">
        <v>5</v>
      </c>
      <c r="B105" s="54">
        <v>3</v>
      </c>
      <c r="C105" s="54">
        <v>3</v>
      </c>
      <c r="D105" s="54">
        <v>1</v>
      </c>
      <c r="E105" s="54" t="s">
        <v>476</v>
      </c>
      <c r="F105" s="54" t="s">
        <v>476</v>
      </c>
      <c r="G105" s="54" t="s">
        <v>476</v>
      </c>
      <c r="H105" s="54" t="s">
        <v>476</v>
      </c>
      <c r="I105" s="54"/>
      <c r="J105" s="54"/>
      <c r="K105" s="54"/>
      <c r="M105" s="54">
        <v>5</v>
      </c>
      <c r="N105" s="53">
        <v>6</v>
      </c>
      <c r="O105" s="53">
        <v>4</v>
      </c>
      <c r="P105" s="53">
        <v>3</v>
      </c>
      <c r="Q105" s="53" t="s">
        <v>476</v>
      </c>
      <c r="R105" s="53" t="s">
        <v>476</v>
      </c>
      <c r="S105" s="53" t="s">
        <v>476</v>
      </c>
      <c r="T105" s="53" t="s">
        <v>476</v>
      </c>
    </row>
    <row r="106" spans="1:20" ht="12.75">
      <c r="A106" s="54">
        <v>6</v>
      </c>
      <c r="B106" s="54">
        <v>3</v>
      </c>
      <c r="C106" s="54">
        <v>3</v>
      </c>
      <c r="D106" s="54">
        <v>2</v>
      </c>
      <c r="E106" s="54" t="s">
        <v>476</v>
      </c>
      <c r="F106" s="54" t="s">
        <v>476</v>
      </c>
      <c r="G106" s="54" t="s">
        <v>476</v>
      </c>
      <c r="H106" s="54" t="s">
        <v>476</v>
      </c>
      <c r="I106" s="54"/>
      <c r="J106" s="54"/>
      <c r="K106" s="54"/>
      <c r="M106" s="54">
        <v>6</v>
      </c>
      <c r="N106" s="53">
        <v>6</v>
      </c>
      <c r="O106" s="53">
        <v>4</v>
      </c>
      <c r="P106" s="53">
        <v>3</v>
      </c>
      <c r="Q106" s="53" t="s">
        <v>476</v>
      </c>
      <c r="R106" s="53" t="s">
        <v>476</v>
      </c>
      <c r="S106" s="53" t="s">
        <v>476</v>
      </c>
      <c r="T106" s="53" t="s">
        <v>476</v>
      </c>
    </row>
    <row r="107" spans="1:20" ht="12.75">
      <c r="A107" s="54">
        <v>7</v>
      </c>
      <c r="B107" s="54">
        <v>3</v>
      </c>
      <c r="C107" s="54">
        <v>3</v>
      </c>
      <c r="D107" s="54">
        <v>2</v>
      </c>
      <c r="E107" s="54">
        <v>0</v>
      </c>
      <c r="F107" s="54" t="s">
        <v>476</v>
      </c>
      <c r="G107" s="54" t="s">
        <v>476</v>
      </c>
      <c r="H107" s="54" t="s">
        <v>476</v>
      </c>
      <c r="I107" s="54"/>
      <c r="J107" s="54"/>
      <c r="K107" s="54"/>
      <c r="M107" s="54">
        <v>7</v>
      </c>
      <c r="N107" s="53">
        <v>6</v>
      </c>
      <c r="O107" s="53">
        <v>4</v>
      </c>
      <c r="P107" s="53">
        <v>4</v>
      </c>
      <c r="Q107" s="53">
        <v>2</v>
      </c>
      <c r="R107" s="53" t="s">
        <v>476</v>
      </c>
      <c r="S107" s="53" t="s">
        <v>476</v>
      </c>
      <c r="T107" s="53" t="s">
        <v>476</v>
      </c>
    </row>
    <row r="108" spans="1:20" ht="12.75">
      <c r="A108" s="54">
        <v>8</v>
      </c>
      <c r="B108" s="54">
        <v>3</v>
      </c>
      <c r="C108" s="54">
        <v>3</v>
      </c>
      <c r="D108" s="54">
        <v>3</v>
      </c>
      <c r="E108" s="54">
        <v>1</v>
      </c>
      <c r="F108" s="54" t="s">
        <v>476</v>
      </c>
      <c r="G108" s="54" t="s">
        <v>476</v>
      </c>
      <c r="H108" s="54" t="s">
        <v>476</v>
      </c>
      <c r="I108" s="54"/>
      <c r="J108" s="54"/>
      <c r="K108" s="54"/>
      <c r="M108" s="54">
        <v>8</v>
      </c>
      <c r="N108" s="53">
        <v>6</v>
      </c>
      <c r="O108" s="53">
        <v>4</v>
      </c>
      <c r="P108" s="53">
        <v>4</v>
      </c>
      <c r="Q108" s="53">
        <v>3</v>
      </c>
      <c r="R108" s="53" t="s">
        <v>476</v>
      </c>
      <c r="S108" s="53" t="s">
        <v>476</v>
      </c>
      <c r="T108" s="53" t="s">
        <v>476</v>
      </c>
    </row>
    <row r="109" spans="1:20" ht="12.75">
      <c r="A109" s="54">
        <v>9</v>
      </c>
      <c r="B109" s="54">
        <v>3</v>
      </c>
      <c r="C109" s="54">
        <v>3</v>
      </c>
      <c r="D109" s="54">
        <v>3</v>
      </c>
      <c r="E109" s="54">
        <v>2</v>
      </c>
      <c r="F109" s="54" t="s">
        <v>476</v>
      </c>
      <c r="G109" s="54" t="s">
        <v>476</v>
      </c>
      <c r="H109" s="54" t="s">
        <v>476</v>
      </c>
      <c r="I109" s="54"/>
      <c r="J109" s="54"/>
      <c r="K109" s="54"/>
      <c r="M109" s="54">
        <v>9</v>
      </c>
      <c r="N109" s="53">
        <v>6</v>
      </c>
      <c r="O109" s="53">
        <v>4</v>
      </c>
      <c r="P109" s="53">
        <v>4</v>
      </c>
      <c r="Q109" s="53">
        <v>3</v>
      </c>
      <c r="R109" s="53" t="s">
        <v>476</v>
      </c>
      <c r="S109" s="53" t="s">
        <v>476</v>
      </c>
      <c r="T109" s="53" t="s">
        <v>476</v>
      </c>
    </row>
    <row r="110" spans="1:20" ht="12.75">
      <c r="A110" s="54">
        <v>10</v>
      </c>
      <c r="B110" s="54">
        <v>3</v>
      </c>
      <c r="C110" s="54">
        <v>3</v>
      </c>
      <c r="D110" s="54">
        <v>3</v>
      </c>
      <c r="E110" s="54">
        <v>2</v>
      </c>
      <c r="F110" s="54">
        <v>0</v>
      </c>
      <c r="G110" s="54" t="s">
        <v>476</v>
      </c>
      <c r="H110" s="54" t="s">
        <v>476</v>
      </c>
      <c r="I110" s="54"/>
      <c r="J110" s="54"/>
      <c r="K110" s="54"/>
      <c r="M110" s="54">
        <v>10</v>
      </c>
      <c r="N110" s="53">
        <v>6</v>
      </c>
      <c r="O110" s="53">
        <v>4</v>
      </c>
      <c r="P110" s="53">
        <v>4</v>
      </c>
      <c r="Q110" s="53">
        <v>4</v>
      </c>
      <c r="R110" s="53">
        <v>2</v>
      </c>
      <c r="S110" s="53" t="s">
        <v>476</v>
      </c>
      <c r="T110" s="53" t="s">
        <v>476</v>
      </c>
    </row>
    <row r="111" spans="1:20" ht="12.75">
      <c r="A111" s="54">
        <v>11</v>
      </c>
      <c r="B111" s="54">
        <v>3</v>
      </c>
      <c r="C111" s="54">
        <v>3</v>
      </c>
      <c r="D111" s="54">
        <v>3</v>
      </c>
      <c r="E111" s="54">
        <v>3</v>
      </c>
      <c r="F111" s="54">
        <v>1</v>
      </c>
      <c r="G111" s="54" t="s">
        <v>476</v>
      </c>
      <c r="H111" s="54" t="s">
        <v>476</v>
      </c>
      <c r="I111" s="54"/>
      <c r="J111" s="54"/>
      <c r="K111" s="54"/>
      <c r="M111" s="54">
        <v>11</v>
      </c>
      <c r="N111" s="53">
        <v>6</v>
      </c>
      <c r="O111" s="53">
        <v>4</v>
      </c>
      <c r="P111" s="53">
        <v>4</v>
      </c>
      <c r="Q111" s="53">
        <v>4</v>
      </c>
      <c r="R111" s="53">
        <v>3</v>
      </c>
      <c r="S111" s="53" t="s">
        <v>476</v>
      </c>
      <c r="T111" s="53" t="s">
        <v>476</v>
      </c>
    </row>
    <row r="112" spans="1:20" ht="12.75">
      <c r="A112" s="54">
        <v>12</v>
      </c>
      <c r="B112" s="54">
        <v>3</v>
      </c>
      <c r="C112" s="54">
        <v>3</v>
      </c>
      <c r="D112" s="54">
        <v>3</v>
      </c>
      <c r="E112" s="54">
        <v>3</v>
      </c>
      <c r="F112" s="54">
        <v>2</v>
      </c>
      <c r="G112" s="54" t="s">
        <v>476</v>
      </c>
      <c r="H112" s="54" t="s">
        <v>476</v>
      </c>
      <c r="I112" s="54"/>
      <c r="J112" s="54"/>
      <c r="K112" s="54"/>
      <c r="M112" s="54">
        <v>12</v>
      </c>
      <c r="N112" s="53">
        <v>6</v>
      </c>
      <c r="O112" s="53">
        <v>4</v>
      </c>
      <c r="P112" s="53">
        <v>4</v>
      </c>
      <c r="Q112" s="53">
        <v>4</v>
      </c>
      <c r="R112" s="53">
        <v>3</v>
      </c>
      <c r="S112" s="53" t="s">
        <v>476</v>
      </c>
      <c r="T112" s="53" t="s">
        <v>476</v>
      </c>
    </row>
    <row r="113" spans="1:20" ht="12.75">
      <c r="A113" s="54">
        <v>13</v>
      </c>
      <c r="B113" s="54">
        <v>3</v>
      </c>
      <c r="C113" s="54">
        <v>3</v>
      </c>
      <c r="D113" s="54">
        <v>3</v>
      </c>
      <c r="E113" s="54">
        <v>3</v>
      </c>
      <c r="F113" s="54">
        <v>2</v>
      </c>
      <c r="G113" s="54">
        <v>0</v>
      </c>
      <c r="H113" s="54" t="s">
        <v>476</v>
      </c>
      <c r="I113" s="54"/>
      <c r="J113" s="54"/>
      <c r="K113" s="54"/>
      <c r="M113" s="54">
        <v>13</v>
      </c>
      <c r="N113" s="53">
        <v>6</v>
      </c>
      <c r="O113" s="53">
        <v>4</v>
      </c>
      <c r="P113" s="53">
        <v>4</v>
      </c>
      <c r="Q113" s="53">
        <v>4</v>
      </c>
      <c r="R113" s="53">
        <v>4</v>
      </c>
      <c r="S113" s="53">
        <v>2</v>
      </c>
      <c r="T113" s="53" t="s">
        <v>476</v>
      </c>
    </row>
    <row r="114" spans="1:20" ht="12.75">
      <c r="A114" s="54">
        <v>14</v>
      </c>
      <c r="B114" s="54">
        <v>4</v>
      </c>
      <c r="C114" s="54">
        <v>3</v>
      </c>
      <c r="D114" s="54">
        <v>3</v>
      </c>
      <c r="E114" s="54">
        <v>3</v>
      </c>
      <c r="F114" s="54">
        <v>3</v>
      </c>
      <c r="G114" s="54">
        <v>1</v>
      </c>
      <c r="H114" s="54" t="s">
        <v>476</v>
      </c>
      <c r="I114" s="54"/>
      <c r="J114" s="54"/>
      <c r="K114" s="54"/>
      <c r="M114" s="54">
        <v>14</v>
      </c>
      <c r="N114" s="53">
        <v>6</v>
      </c>
      <c r="O114" s="53">
        <v>4</v>
      </c>
      <c r="P114" s="53">
        <v>4</v>
      </c>
      <c r="Q114" s="53">
        <v>4</v>
      </c>
      <c r="R114" s="53">
        <v>4</v>
      </c>
      <c r="S114" s="53">
        <v>3</v>
      </c>
      <c r="T114" s="53" t="s">
        <v>476</v>
      </c>
    </row>
    <row r="115" spans="1:20" ht="12.75">
      <c r="A115" s="54">
        <v>15</v>
      </c>
      <c r="B115" s="54">
        <v>4</v>
      </c>
      <c r="C115" s="54">
        <v>4</v>
      </c>
      <c r="D115" s="54">
        <v>3</v>
      </c>
      <c r="E115" s="54">
        <v>3</v>
      </c>
      <c r="F115" s="54">
        <v>3</v>
      </c>
      <c r="G115" s="54">
        <v>2</v>
      </c>
      <c r="H115" s="54" t="s">
        <v>476</v>
      </c>
      <c r="I115" s="54"/>
      <c r="J115" s="54"/>
      <c r="K115" s="54"/>
      <c r="M115" s="54">
        <v>15</v>
      </c>
      <c r="N115" s="53">
        <v>6</v>
      </c>
      <c r="O115" s="53">
        <v>4</v>
      </c>
      <c r="P115" s="53">
        <v>4</v>
      </c>
      <c r="Q115" s="53">
        <v>4</v>
      </c>
      <c r="R115" s="53">
        <v>4</v>
      </c>
      <c r="S115" s="53">
        <v>3</v>
      </c>
      <c r="T115" s="53" t="s">
        <v>476</v>
      </c>
    </row>
    <row r="116" spans="1:20" ht="12.75">
      <c r="A116" s="54">
        <v>16</v>
      </c>
      <c r="B116" s="54">
        <v>4</v>
      </c>
      <c r="C116" s="54">
        <v>4</v>
      </c>
      <c r="D116" s="54">
        <v>4</v>
      </c>
      <c r="E116" s="54">
        <v>3</v>
      </c>
      <c r="F116" s="54">
        <v>3</v>
      </c>
      <c r="G116" s="54">
        <v>2</v>
      </c>
      <c r="H116" s="54">
        <v>0</v>
      </c>
      <c r="I116" s="54"/>
      <c r="J116" s="54"/>
      <c r="K116" s="54"/>
      <c r="M116" s="54">
        <v>16</v>
      </c>
      <c r="N116" s="53">
        <v>6</v>
      </c>
      <c r="O116" s="53">
        <v>5</v>
      </c>
      <c r="P116" s="53">
        <v>4</v>
      </c>
      <c r="Q116" s="53">
        <v>4</v>
      </c>
      <c r="R116" s="53">
        <v>4</v>
      </c>
      <c r="S116" s="53">
        <v>4</v>
      </c>
      <c r="T116" s="53">
        <v>2</v>
      </c>
    </row>
    <row r="117" spans="1:20" ht="12.75">
      <c r="A117" s="54">
        <v>17</v>
      </c>
      <c r="B117" s="54">
        <v>4</v>
      </c>
      <c r="C117" s="54">
        <v>4</v>
      </c>
      <c r="D117" s="54">
        <v>4</v>
      </c>
      <c r="E117" s="54">
        <v>4</v>
      </c>
      <c r="F117" s="54">
        <v>3</v>
      </c>
      <c r="G117" s="54">
        <v>3</v>
      </c>
      <c r="H117" s="54">
        <v>1</v>
      </c>
      <c r="I117" s="54"/>
      <c r="J117" s="54"/>
      <c r="K117" s="54"/>
      <c r="M117" s="54">
        <v>17</v>
      </c>
      <c r="N117" s="53">
        <v>6</v>
      </c>
      <c r="O117" s="53">
        <v>5</v>
      </c>
      <c r="P117" s="53">
        <v>5</v>
      </c>
      <c r="Q117" s="53">
        <v>4</v>
      </c>
      <c r="R117" s="53">
        <v>4</v>
      </c>
      <c r="S117" s="53">
        <v>4</v>
      </c>
      <c r="T117" s="53">
        <v>3</v>
      </c>
    </row>
    <row r="118" spans="1:20" ht="12.75">
      <c r="A118" s="54">
        <v>18</v>
      </c>
      <c r="B118" s="54">
        <v>4</v>
      </c>
      <c r="C118" s="54">
        <v>4</v>
      </c>
      <c r="D118" s="54">
        <v>4</v>
      </c>
      <c r="E118" s="54">
        <v>4</v>
      </c>
      <c r="F118" s="54">
        <v>4</v>
      </c>
      <c r="G118" s="54">
        <v>3</v>
      </c>
      <c r="H118" s="54">
        <v>2</v>
      </c>
      <c r="I118" s="54"/>
      <c r="J118" s="54"/>
      <c r="K118" s="54"/>
      <c r="M118" s="54">
        <v>18</v>
      </c>
      <c r="N118" s="53">
        <v>6</v>
      </c>
      <c r="O118" s="53">
        <v>5</v>
      </c>
      <c r="P118" s="53">
        <v>5</v>
      </c>
      <c r="Q118" s="53">
        <v>5</v>
      </c>
      <c r="R118" s="53">
        <v>4</v>
      </c>
      <c r="S118" s="53">
        <v>4</v>
      </c>
      <c r="T118" s="53">
        <v>3</v>
      </c>
    </row>
    <row r="119" spans="1:20" ht="12.75">
      <c r="A119" s="54">
        <v>19</v>
      </c>
      <c r="B119" s="54">
        <v>4</v>
      </c>
      <c r="C119" s="54">
        <v>4</v>
      </c>
      <c r="D119" s="54">
        <v>4</v>
      </c>
      <c r="E119" s="54">
        <v>4</v>
      </c>
      <c r="F119" s="54">
        <v>4</v>
      </c>
      <c r="G119" s="54">
        <v>4</v>
      </c>
      <c r="H119" s="54">
        <v>3</v>
      </c>
      <c r="I119" s="54"/>
      <c r="J119" s="54"/>
      <c r="K119" s="54"/>
      <c r="M119" s="54">
        <v>19</v>
      </c>
      <c r="N119" s="53">
        <v>6</v>
      </c>
      <c r="O119" s="53">
        <v>5</v>
      </c>
      <c r="P119" s="53">
        <v>5</v>
      </c>
      <c r="Q119" s="53">
        <v>5</v>
      </c>
      <c r="R119" s="53">
        <v>5</v>
      </c>
      <c r="S119" s="53">
        <v>4</v>
      </c>
      <c r="T119" s="53">
        <v>4</v>
      </c>
    </row>
    <row r="120" spans="1:20" ht="12.75">
      <c r="A120" s="54">
        <v>20</v>
      </c>
      <c r="B120" s="54">
        <v>4</v>
      </c>
      <c r="C120" s="54">
        <v>4</v>
      </c>
      <c r="D120" s="54">
        <v>4</v>
      </c>
      <c r="E120" s="54">
        <v>4</v>
      </c>
      <c r="F120" s="54">
        <v>4</v>
      </c>
      <c r="G120" s="54">
        <v>4</v>
      </c>
      <c r="H120" s="54">
        <v>4</v>
      </c>
      <c r="I120" s="54"/>
      <c r="J120" s="54"/>
      <c r="K120" s="54"/>
      <c r="M120" s="54">
        <v>20</v>
      </c>
      <c r="N120" s="53">
        <v>6</v>
      </c>
      <c r="O120" s="53">
        <v>5</v>
      </c>
      <c r="P120" s="53">
        <v>5</v>
      </c>
      <c r="Q120" s="53">
        <v>5</v>
      </c>
      <c r="R120" s="53">
        <v>5</v>
      </c>
      <c r="S120" s="53">
        <v>5</v>
      </c>
      <c r="T120" s="53">
        <v>4</v>
      </c>
    </row>
    <row r="122" spans="2:8" ht="12.75">
      <c r="B122" s="248" t="s">
        <v>632</v>
      </c>
      <c r="C122" s="248"/>
      <c r="D122" s="248"/>
      <c r="E122" s="248"/>
      <c r="F122" s="248"/>
      <c r="G122" s="248"/>
      <c r="H122" s="248"/>
    </row>
    <row r="123" spans="2:7" ht="12.75">
      <c r="B123" s="8">
        <v>0</v>
      </c>
      <c r="C123" s="8">
        <v>1</v>
      </c>
      <c r="D123" s="8">
        <v>2</v>
      </c>
      <c r="E123" s="8">
        <v>3</v>
      </c>
      <c r="F123" s="8">
        <v>4</v>
      </c>
      <c r="G123" s="8">
        <v>5</v>
      </c>
    </row>
    <row r="124" spans="1:7" ht="12.75">
      <c r="A124" s="54">
        <v>0</v>
      </c>
      <c r="B124" s="53" t="s">
        <v>476</v>
      </c>
      <c r="C124" s="53" t="s">
        <v>476</v>
      </c>
      <c r="D124" s="53" t="s">
        <v>476</v>
      </c>
      <c r="E124" s="53" t="s">
        <v>476</v>
      </c>
      <c r="F124" s="53" t="s">
        <v>476</v>
      </c>
      <c r="G124" s="53" t="s">
        <v>476</v>
      </c>
    </row>
    <row r="125" spans="1:7" ht="12.75">
      <c r="A125" s="54">
        <v>1</v>
      </c>
      <c r="B125" s="53">
        <v>3</v>
      </c>
      <c r="C125" s="53">
        <v>1</v>
      </c>
      <c r="D125" s="53" t="s">
        <v>476</v>
      </c>
      <c r="E125" s="53" t="s">
        <v>476</v>
      </c>
      <c r="F125" s="53" t="s">
        <v>476</v>
      </c>
      <c r="G125" s="53" t="s">
        <v>476</v>
      </c>
    </row>
    <row r="126" spans="1:7" ht="12.75">
      <c r="A126" s="54">
        <v>2</v>
      </c>
      <c r="B126" s="53">
        <v>3</v>
      </c>
      <c r="C126" s="53">
        <v>2</v>
      </c>
      <c r="D126" s="53" t="s">
        <v>476</v>
      </c>
      <c r="E126" s="53" t="s">
        <v>476</v>
      </c>
      <c r="F126" s="53" t="s">
        <v>476</v>
      </c>
      <c r="G126" s="53" t="s">
        <v>476</v>
      </c>
    </row>
    <row r="127" spans="1:7" ht="12.75">
      <c r="A127" s="54">
        <v>3</v>
      </c>
      <c r="B127" s="53">
        <v>3</v>
      </c>
      <c r="C127" s="53">
        <v>2</v>
      </c>
      <c r="D127" s="53">
        <v>0</v>
      </c>
      <c r="E127" s="53" t="s">
        <v>476</v>
      </c>
      <c r="F127" s="53" t="s">
        <v>476</v>
      </c>
      <c r="G127" s="53" t="s">
        <v>476</v>
      </c>
    </row>
    <row r="128" spans="1:7" ht="12.75">
      <c r="A128" s="54">
        <v>4</v>
      </c>
      <c r="B128" s="53">
        <v>3</v>
      </c>
      <c r="C128" s="53">
        <v>2</v>
      </c>
      <c r="D128" s="53">
        <v>1</v>
      </c>
      <c r="E128" s="53" t="s">
        <v>476</v>
      </c>
      <c r="F128" s="53" t="s">
        <v>476</v>
      </c>
      <c r="G128" s="53" t="s">
        <v>476</v>
      </c>
    </row>
    <row r="129" spans="1:7" ht="12.75">
      <c r="A129" s="54">
        <v>5</v>
      </c>
      <c r="B129" s="53">
        <v>3</v>
      </c>
      <c r="C129" s="53">
        <v>2</v>
      </c>
      <c r="D129" s="53">
        <v>1</v>
      </c>
      <c r="E129" s="53" t="s">
        <v>476</v>
      </c>
      <c r="F129" s="53" t="s">
        <v>476</v>
      </c>
      <c r="G129" s="53" t="s">
        <v>476</v>
      </c>
    </row>
    <row r="130" spans="1:7" ht="12.75">
      <c r="A130" s="54">
        <v>6</v>
      </c>
      <c r="B130" s="53">
        <v>3</v>
      </c>
      <c r="C130" s="53">
        <v>3</v>
      </c>
      <c r="D130" s="53">
        <v>2</v>
      </c>
      <c r="E130" s="53" t="s">
        <v>476</v>
      </c>
      <c r="F130" s="53" t="s">
        <v>476</v>
      </c>
      <c r="G130" s="53" t="s">
        <v>476</v>
      </c>
    </row>
    <row r="131" spans="1:7" ht="12.75">
      <c r="A131" s="54">
        <v>7</v>
      </c>
      <c r="B131" s="53">
        <v>3</v>
      </c>
      <c r="C131" s="53">
        <v>3</v>
      </c>
      <c r="D131" s="53">
        <v>2</v>
      </c>
      <c r="E131" s="53" t="s">
        <v>476</v>
      </c>
      <c r="F131" s="53" t="s">
        <v>476</v>
      </c>
      <c r="G131" s="53" t="s">
        <v>476</v>
      </c>
    </row>
    <row r="132" spans="1:7" ht="12.75">
      <c r="A132" s="54">
        <v>8</v>
      </c>
      <c r="B132" s="53">
        <v>3</v>
      </c>
      <c r="C132" s="53">
        <v>3</v>
      </c>
      <c r="D132" s="53">
        <v>2</v>
      </c>
      <c r="E132" s="53">
        <v>0</v>
      </c>
      <c r="F132" s="53" t="s">
        <v>476</v>
      </c>
      <c r="G132" s="53" t="s">
        <v>476</v>
      </c>
    </row>
    <row r="133" spans="1:7" ht="12.75">
      <c r="A133" s="54">
        <v>9</v>
      </c>
      <c r="B133" s="53">
        <v>3</v>
      </c>
      <c r="C133" s="53">
        <v>3</v>
      </c>
      <c r="D133" s="53">
        <v>2</v>
      </c>
      <c r="E133" s="53">
        <v>1</v>
      </c>
      <c r="F133" s="53" t="s">
        <v>476</v>
      </c>
      <c r="G133" s="53" t="s">
        <v>476</v>
      </c>
    </row>
    <row r="134" spans="1:7" ht="12.75">
      <c r="A134" s="54">
        <v>10</v>
      </c>
      <c r="B134" s="53">
        <v>3</v>
      </c>
      <c r="C134" s="53">
        <v>3</v>
      </c>
      <c r="D134" s="53">
        <v>3</v>
      </c>
      <c r="E134" s="53">
        <v>1</v>
      </c>
      <c r="F134" s="53" t="s">
        <v>476</v>
      </c>
      <c r="G134" s="53" t="s">
        <v>476</v>
      </c>
    </row>
    <row r="135" spans="1:7" ht="12.75">
      <c r="A135" s="54">
        <v>11</v>
      </c>
      <c r="B135" s="53">
        <v>3</v>
      </c>
      <c r="C135" s="53">
        <v>3</v>
      </c>
      <c r="D135" s="53">
        <v>3</v>
      </c>
      <c r="E135" s="53">
        <v>2</v>
      </c>
      <c r="F135" s="53" t="s">
        <v>476</v>
      </c>
      <c r="G135" s="53" t="s">
        <v>476</v>
      </c>
    </row>
    <row r="136" spans="1:7" ht="12.75">
      <c r="A136" s="54">
        <v>12</v>
      </c>
      <c r="B136" s="53">
        <v>3</v>
      </c>
      <c r="C136" s="53">
        <v>3</v>
      </c>
      <c r="D136" s="53">
        <v>3</v>
      </c>
      <c r="E136" s="53">
        <v>2</v>
      </c>
      <c r="F136" s="53">
        <v>0</v>
      </c>
      <c r="G136" s="53" t="s">
        <v>476</v>
      </c>
    </row>
    <row r="137" spans="1:7" ht="12.75">
      <c r="A137" s="54">
        <v>13</v>
      </c>
      <c r="B137" s="53">
        <v>3</v>
      </c>
      <c r="C137" s="53">
        <v>3</v>
      </c>
      <c r="D137" s="53">
        <v>3</v>
      </c>
      <c r="E137" s="53">
        <v>2</v>
      </c>
      <c r="F137" s="53">
        <v>1</v>
      </c>
      <c r="G137" s="53" t="s">
        <v>476</v>
      </c>
    </row>
    <row r="138" spans="1:7" ht="12.75">
      <c r="A138" s="54">
        <v>14</v>
      </c>
      <c r="B138" s="53">
        <v>3</v>
      </c>
      <c r="C138" s="53">
        <v>3</v>
      </c>
      <c r="D138" s="53">
        <v>3</v>
      </c>
      <c r="E138" s="53">
        <v>2</v>
      </c>
      <c r="F138" s="53">
        <v>1</v>
      </c>
      <c r="G138" s="53" t="s">
        <v>476</v>
      </c>
    </row>
    <row r="139" spans="1:7" ht="12.75">
      <c r="A139" s="54">
        <v>15</v>
      </c>
      <c r="B139" s="53">
        <v>3</v>
      </c>
      <c r="C139" s="53">
        <v>3</v>
      </c>
      <c r="D139" s="53">
        <v>3</v>
      </c>
      <c r="E139" s="53">
        <v>3</v>
      </c>
      <c r="F139" s="53">
        <v>2</v>
      </c>
      <c r="G139" s="53" t="s">
        <v>476</v>
      </c>
    </row>
    <row r="140" spans="1:7" ht="12.75">
      <c r="A140" s="54">
        <v>16</v>
      </c>
      <c r="B140" s="53">
        <v>3</v>
      </c>
      <c r="C140" s="53">
        <v>3</v>
      </c>
      <c r="D140" s="53">
        <v>3</v>
      </c>
      <c r="E140" s="53">
        <v>3</v>
      </c>
      <c r="F140" s="53">
        <v>2</v>
      </c>
      <c r="G140" s="53">
        <v>0</v>
      </c>
    </row>
    <row r="141" spans="1:7" ht="12.75">
      <c r="A141" s="54">
        <v>17</v>
      </c>
      <c r="B141" s="53">
        <v>3</v>
      </c>
      <c r="C141" s="53">
        <v>3</v>
      </c>
      <c r="D141" s="53">
        <v>3</v>
      </c>
      <c r="E141" s="53">
        <v>3</v>
      </c>
      <c r="F141" s="53">
        <v>2</v>
      </c>
      <c r="G141" s="53">
        <v>1</v>
      </c>
    </row>
    <row r="142" spans="1:7" ht="12.75">
      <c r="A142" s="54">
        <v>18</v>
      </c>
      <c r="B142" s="53">
        <v>3</v>
      </c>
      <c r="C142" s="53">
        <v>3</v>
      </c>
      <c r="D142" s="53">
        <v>3</v>
      </c>
      <c r="E142" s="53">
        <v>3</v>
      </c>
      <c r="F142" s="53">
        <v>2</v>
      </c>
      <c r="G142" s="53">
        <v>1</v>
      </c>
    </row>
    <row r="143" spans="1:7" ht="12.75">
      <c r="A143" s="54">
        <v>19</v>
      </c>
      <c r="B143" s="53">
        <v>3</v>
      </c>
      <c r="C143" s="53">
        <v>3</v>
      </c>
      <c r="D143" s="53">
        <v>3</v>
      </c>
      <c r="E143" s="53">
        <v>3</v>
      </c>
      <c r="F143" s="53">
        <v>3</v>
      </c>
      <c r="G143" s="53">
        <v>2</v>
      </c>
    </row>
    <row r="144" spans="1:7" ht="12.75">
      <c r="A144" s="54">
        <v>20</v>
      </c>
      <c r="B144" s="53">
        <v>3</v>
      </c>
      <c r="C144" s="53">
        <v>3</v>
      </c>
      <c r="D144" s="53">
        <v>3</v>
      </c>
      <c r="E144" s="53">
        <v>3</v>
      </c>
      <c r="F144" s="53">
        <v>3</v>
      </c>
      <c r="G144" s="53">
        <v>2</v>
      </c>
    </row>
  </sheetData>
  <sheetProtection sheet="1" objects="1" scenarios="1"/>
  <mergeCells count="8">
    <mergeCell ref="B74:E74"/>
    <mergeCell ref="B98:H98"/>
    <mergeCell ref="N98:T98"/>
    <mergeCell ref="B122:H122"/>
    <mergeCell ref="B1:K1"/>
    <mergeCell ref="B26:K26"/>
    <mergeCell ref="N26:W26"/>
    <mergeCell ref="B50:K5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bullfrog dada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Buhr</dc:creator>
  <cp:keywords/>
  <dc:description/>
  <cp:lastModifiedBy>John Acar</cp:lastModifiedBy>
  <cp:lastPrinted>2003-12-16T23:53:17Z</cp:lastPrinted>
  <dcterms:created xsi:type="dcterms:W3CDTF">2003-12-16T20:29:35Z</dcterms:created>
  <dcterms:modified xsi:type="dcterms:W3CDTF">2004-12-23T05:33:06Z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